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61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C22" i="23" l="1"/>
  <c r="C23" i="22"/>
  <c r="C23" i="15"/>
  <c r="C27" i="2"/>
  <c r="E12" i="34" l="1"/>
  <c r="E18" i="34" l="1"/>
  <c r="E20" i="34" s="1"/>
  <c r="G21" i="34" s="1"/>
  <c r="G22" i="34" s="1"/>
  <c r="C27" i="15" s="1"/>
  <c r="E27" i="15" s="1"/>
  <c r="C16" i="23" l="1"/>
  <c r="C17" i="22"/>
  <c r="C17" i="15"/>
  <c r="C21" i="2"/>
  <c r="G12" i="34" l="1"/>
  <c r="C25" i="22" s="1"/>
  <c r="E25" i="22" s="1"/>
  <c r="G10" i="30" l="1"/>
  <c r="G12" i="30"/>
  <c r="E10" i="11" l="1"/>
  <c r="G13" i="11"/>
  <c r="F13" i="11"/>
  <c r="D10" i="20" s="1"/>
  <c r="C32" i="2" l="1"/>
  <c r="C17" i="23" l="1"/>
  <c r="E17" i="23" s="1"/>
  <c r="C18" i="22" l="1"/>
  <c r="E18" i="22" s="1"/>
  <c r="C18" i="15"/>
  <c r="E18" i="15" s="1"/>
  <c r="C22" i="2"/>
  <c r="E22" i="2" s="1"/>
  <c r="G13" i="27"/>
  <c r="D11" i="20" l="1"/>
  <c r="F11" i="21"/>
  <c r="F12" i="21" s="1"/>
  <c r="C13" i="2" s="1"/>
  <c r="D11" i="21"/>
  <c r="D12" i="21" s="1"/>
  <c r="C12" i="2" s="1"/>
  <c r="C9" i="2"/>
  <c r="E16" i="19"/>
  <c r="E17" i="19" s="1"/>
  <c r="C24" i="2" l="1"/>
  <c r="E27" i="2" s="1"/>
  <c r="C20" i="22"/>
  <c r="E23" i="22" s="1"/>
  <c r="C19" i="23"/>
  <c r="C20" i="15"/>
  <c r="E23" i="15" l="1"/>
  <c r="E22" i="23"/>
  <c r="G11" i="10"/>
  <c r="E32" i="2" l="1"/>
  <c r="G13" i="10"/>
  <c r="C25" i="15" s="1"/>
  <c r="E12" i="11"/>
  <c r="E25" i="15" l="1"/>
  <c r="D12" i="20"/>
  <c r="C10" i="2" s="1"/>
  <c r="C16" i="2" s="1"/>
  <c r="C12" i="15" l="1"/>
  <c r="C12" i="22" s="1"/>
  <c r="C11" i="23" s="1"/>
  <c r="E11" i="11"/>
  <c r="E13" i="11" l="1"/>
  <c r="F10" i="20" s="1"/>
  <c r="F11" i="20" s="1"/>
  <c r="F12" i="20" s="1"/>
  <c r="C11" i="2" s="1"/>
  <c r="C17" i="2" s="1"/>
  <c r="C34" i="2"/>
  <c r="E34" i="2" s="1"/>
  <c r="C13" i="15" l="1"/>
  <c r="C13" i="22" s="1"/>
  <c r="C12" i="23" s="1"/>
  <c r="C14" i="2"/>
  <c r="C15" i="2" s="1"/>
  <c r="C18" i="2" l="1"/>
  <c r="E18" i="2" s="1"/>
  <c r="E35" i="2" s="1"/>
  <c r="C9" i="15" l="1"/>
  <c r="C10" i="15" l="1"/>
  <c r="C11" i="15" s="1"/>
  <c r="C14" i="15" l="1"/>
  <c r="E14" i="15" s="1"/>
  <c r="E28" i="15" s="1"/>
  <c r="C9" i="22" l="1"/>
  <c r="C10" i="22" l="1"/>
  <c r="C11" i="22" s="1"/>
  <c r="C14" i="22" l="1"/>
  <c r="E14" i="22" s="1"/>
  <c r="E26" i="22" s="1"/>
  <c r="C8" i="23" l="1"/>
  <c r="C9" i="23" l="1"/>
  <c r="C10" i="23" s="1"/>
  <c r="C13" i="23" l="1"/>
  <c r="E13" i="23" s="1"/>
  <c r="E23" i="23" s="1"/>
</calcChain>
</file>

<file path=xl/sharedStrings.xml><?xml version="1.0" encoding="utf-8"?>
<sst xmlns="http://schemas.openxmlformats.org/spreadsheetml/2006/main" count="340" uniqueCount="150">
  <si>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</si>
  <si>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</si>
  <si>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</si>
  <si>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</si>
  <si>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</si>
  <si>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</si>
  <si>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</si>
  <si>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</si>
  <si>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</si>
  <si>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</si>
  <si>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</si>
  <si>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</si>
  <si>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</si>
  <si>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</si>
  <si>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</si>
  <si>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</si>
  <si>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</si>
  <si>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</si>
  <si>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</si>
  <si>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</si>
  <si>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</si>
  <si>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</si>
  <si>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</si>
  <si>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</si>
  <si>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</si>
  <si>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</si>
  <si>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</si>
  <si>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</si>
  <si>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</si>
  <si>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</si>
  <si>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</si>
  <si>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</si>
  <si>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</si>
  <si>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</si>
  <si>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</si>
  <si>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</si>
  <si>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</si>
  <si>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</si>
  <si>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</si>
  <si>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</si>
  <si>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</si>
  <si>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</si>
  <si>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</si>
  <si>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</si>
  <si>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</si>
  <si>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</si>
  <si>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</si>
  <si>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</si>
  <si>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</si>
  <si>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</si>
  <si>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</si>
  <si>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</si>
  <si>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</si>
  <si>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</si>
  <si>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</si>
  <si>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</si>
  <si>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</si>
  <si>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</si>
  <si>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</si>
  <si>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</si>
  <si>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</si>
  <si>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</si>
  <si>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</si>
  <si>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</si>
  <si>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</si>
  <si>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</si>
  <si>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</si>
  <si>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</si>
  <si>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</si>
  <si>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</si>
  <si>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</si>
  <si>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</si>
  <si>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</si>
  <si>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</si>
  <si>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</si>
  <si>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</si>
  <si>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</si>
  <si>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</si>
  <si>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</si>
  <si>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</si>
  <si>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</si>
  <si>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</si>
  <si>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</si>
  <si>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</si>
  <si>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</si>
  <si>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</si>
  <si>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</si>
  <si>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</si>
  <si>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</si>
  <si>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</si>
  <si>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</si>
  <si>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</si>
  <si>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</si>
  <si>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</si>
  <si>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</si>
  <si>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</si>
  <si>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</si>
  <si>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</si>
  <si>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</si>
  <si>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</si>
  <si>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</si>
  <si>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</si>
  <si>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</si>
  <si>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</si>
  <si>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</si>
  <si>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</si>
  <si>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</si>
  <si>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</si>
  <si>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</si>
  <si>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</si>
  <si>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</si>
  <si>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</si>
  <si>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</si>
  <si>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</si>
  <si>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</si>
  <si>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</si>
  <si>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</si>
  <si>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</si>
  <si>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</si>
  <si>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</si>
  <si>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</si>
  <si>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</si>
  <si>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</si>
  <si>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</si>
  <si>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</si>
  <si>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</si>
  <si>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</si>
  <si>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</si>
  <si>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</si>
  <si>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</si>
  <si>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</si>
  <si>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</si>
  <si>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</si>
  <si>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Overtagelse af Ørbækgård 2016 (§ 11, stk. 4)</t>
  </si>
  <si>
    <t>Spildevandsafgift</t>
  </si>
  <si>
    <t>Afgift til Forsyningsekretariatet</t>
  </si>
  <si>
    <t>Køb af ydelser og produkter fra andre vandselskaber reguleret af vandsektorloven</t>
  </si>
  <si>
    <t>Skatter og afgifter</t>
  </si>
  <si>
    <t>Selskabsskatter</t>
  </si>
  <si>
    <t>Undersøgelsesudgifter i forbindelse med fusion</t>
  </si>
  <si>
    <t>Periodevise driftsomkostninger under prisloftsbekendtgørelsen</t>
  </si>
  <si>
    <t>Indløb med riste, Mek/EL</t>
  </si>
  <si>
    <t>Indløb med riste, Konstruktioner</t>
  </si>
  <si>
    <t>Indløb med riste, SRO</t>
  </si>
  <si>
    <t>20</t>
  </si>
  <si>
    <t>60</t>
  </si>
  <si>
    <t>10</t>
  </si>
  <si>
    <t xml:space="preserve">Medfinansiering efter prisloftbekendtgørelsen </t>
  </si>
  <si>
    <t>Fane 10: Bortfald eller nedsættelse af omkostninger til mål, medfinansiering eller udvidelse</t>
  </si>
  <si>
    <t>Fane 11: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</si>
</sst>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1" t="s">
        <v>3</v>
      </c>
      <c r="E6" s="81"/>
      <c r="F6" s="81"/>
      <c r="G6" s="81"/>
      <c r="H6" s="3"/>
      <c r="I6" s="1"/>
    </row>
    <row r="7" spans="1:9" ht="15" customHeight="1" x14ac:dyDescent="0.25">
      <c r="A7" s="1"/>
      <c r="B7" s="1"/>
      <c r="C7" s="3"/>
      <c r="D7" s="81"/>
      <c r="E7" s="81"/>
      <c r="F7" s="81"/>
      <c r="G7" s="81"/>
      <c r="H7" s="3"/>
      <c r="I7" s="1"/>
    </row>
    <row r="8" spans="1:9" ht="15.75" x14ac:dyDescent="0.25">
      <c r="A8" s="1"/>
      <c r="B8" s="1"/>
      <c r="C8" s="4"/>
      <c r="D8" s="83" t="s">
        <v>123</v>
      </c>
      <c r="E8" s="83"/>
      <c r="F8" s="83"/>
      <c r="G8" s="8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2" t="s">
        <v>4</v>
      </c>
      <c r="E11" s="82"/>
      <c r="F11" s="82"/>
      <c r="G11" s="8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78" t="s">
        <v>31</v>
      </c>
      <c r="E13" s="79"/>
      <c r="F13" s="79"/>
      <c r="G13" s="80"/>
      <c r="H13" s="1"/>
      <c r="I13" s="1"/>
    </row>
    <row r="14" spans="1:9" x14ac:dyDescent="0.25">
      <c r="A14" s="1"/>
      <c r="B14" s="1"/>
      <c r="C14" s="6" t="s">
        <v>30</v>
      </c>
      <c r="D14" s="78" t="s">
        <v>95</v>
      </c>
      <c r="E14" s="79"/>
      <c r="F14" s="79"/>
      <c r="G14" s="80"/>
      <c r="H14" s="1"/>
      <c r="I14" s="1"/>
    </row>
    <row r="15" spans="1:9" x14ac:dyDescent="0.25">
      <c r="A15" s="1"/>
      <c r="B15" s="1"/>
      <c r="C15" s="6" t="s">
        <v>94</v>
      </c>
      <c r="D15" s="78" t="s">
        <v>97</v>
      </c>
      <c r="E15" s="79"/>
      <c r="F15" s="79"/>
      <c r="G15" s="80"/>
      <c r="H15" s="1"/>
      <c r="I15" s="1"/>
    </row>
    <row r="16" spans="1:9" x14ac:dyDescent="0.25">
      <c r="A16" s="1"/>
      <c r="B16" s="1"/>
      <c r="C16" s="6" t="s">
        <v>96</v>
      </c>
      <c r="D16" s="78" t="s">
        <v>124</v>
      </c>
      <c r="E16" s="79"/>
      <c r="F16" s="79"/>
      <c r="G16" s="80"/>
      <c r="H16" s="1"/>
      <c r="I16" s="1"/>
    </row>
    <row r="17" spans="1:9" x14ac:dyDescent="0.25">
      <c r="A17" s="1"/>
      <c r="B17" s="1"/>
      <c r="C17" s="6" t="s">
        <v>6</v>
      </c>
      <c r="D17" s="84" t="s">
        <v>98</v>
      </c>
      <c r="E17" s="85"/>
      <c r="F17" s="85"/>
      <c r="G17" s="86"/>
      <c r="H17" s="1"/>
      <c r="I17" s="1"/>
    </row>
    <row r="18" spans="1:9" x14ac:dyDescent="0.25">
      <c r="A18" s="1"/>
      <c r="B18" s="1"/>
      <c r="C18" s="6" t="s">
        <v>7</v>
      </c>
      <c r="D18" s="84" t="s">
        <v>99</v>
      </c>
      <c r="E18" s="85"/>
      <c r="F18" s="85"/>
      <c r="G18" s="86"/>
      <c r="H18" s="1"/>
      <c r="I18" s="1"/>
    </row>
    <row r="19" spans="1:9" x14ac:dyDescent="0.25">
      <c r="A19" s="1"/>
      <c r="B19" s="1"/>
      <c r="C19" s="6" t="s">
        <v>8</v>
      </c>
      <c r="D19" s="69" t="s">
        <v>103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9</v>
      </c>
      <c r="D20" s="72" t="s">
        <v>100</v>
      </c>
      <c r="E20" s="73"/>
      <c r="F20" s="73"/>
      <c r="G20" s="74"/>
      <c r="H20" s="1"/>
      <c r="I20" s="1"/>
    </row>
    <row r="21" spans="1:9" x14ac:dyDescent="0.25">
      <c r="A21" s="1"/>
      <c r="B21" s="1"/>
      <c r="C21" s="6" t="s">
        <v>10</v>
      </c>
      <c r="D21" s="72" t="s">
        <v>122</v>
      </c>
      <c r="E21" s="73"/>
      <c r="F21" s="73"/>
      <c r="G21" s="74"/>
      <c r="H21" s="1"/>
      <c r="I21" s="1"/>
    </row>
    <row r="22" spans="1:9" x14ac:dyDescent="0.25">
      <c r="A22" s="1"/>
      <c r="B22" s="1"/>
      <c r="C22" s="6" t="s">
        <v>11</v>
      </c>
      <c r="D22" s="72" t="s">
        <v>104</v>
      </c>
      <c r="E22" s="73"/>
      <c r="F22" s="73"/>
      <c r="G22" s="74"/>
      <c r="H22" s="1"/>
      <c r="I22" s="1"/>
    </row>
    <row r="23" spans="1:9" x14ac:dyDescent="0.25">
      <c r="A23" s="1"/>
      <c r="B23" s="1"/>
      <c r="C23" s="6" t="s">
        <v>12</v>
      </c>
      <c r="D23" s="75" t="s">
        <v>28</v>
      </c>
      <c r="E23" s="76"/>
      <c r="F23" s="76"/>
      <c r="G23" s="77"/>
      <c r="H23" s="1"/>
      <c r="I23" s="1"/>
    </row>
    <row r="24" spans="1:9" x14ac:dyDescent="0.25">
      <c r="A24" s="1"/>
      <c r="B24" s="1"/>
      <c r="C24" s="6" t="s">
        <v>26</v>
      </c>
      <c r="D24" s="66" t="s">
        <v>101</v>
      </c>
      <c r="E24" s="67"/>
      <c r="F24" s="67"/>
      <c r="G24" s="68"/>
      <c r="H24" s="1"/>
      <c r="I24" s="1"/>
    </row>
    <row r="25" spans="1:9" x14ac:dyDescent="0.25">
      <c r="A25" s="1"/>
      <c r="B25" s="1"/>
      <c r="C25" s="6" t="s">
        <v>29</v>
      </c>
      <c r="D25" s="66" t="s">
        <v>54</v>
      </c>
      <c r="E25" s="67"/>
      <c r="F25" s="67"/>
      <c r="G25" s="68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  <mergeCell ref="D24:G24"/>
    <mergeCell ref="D25:G25"/>
    <mergeCell ref="D19:G19"/>
    <mergeCell ref="D21:G21"/>
    <mergeCell ref="D22:G22"/>
    <mergeCell ref="D23:G2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126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116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9" t="s">
        <v>105</v>
      </c>
      <c r="C9" s="100"/>
      <c r="D9" s="101"/>
      <c r="E9" s="11">
        <v>46160627.962647237</v>
      </c>
      <c r="F9" s="22" t="s">
        <v>2</v>
      </c>
      <c r="G9" s="19"/>
      <c r="H9" s="27"/>
      <c r="I9" s="1"/>
    </row>
    <row r="10" spans="1:9" x14ac:dyDescent="0.25">
      <c r="A10" s="1"/>
      <c r="B10" s="99" t="s">
        <v>106</v>
      </c>
      <c r="C10" s="100"/>
      <c r="D10" s="101"/>
      <c r="E10" s="11">
        <v>44831543</v>
      </c>
      <c r="F10" s="22" t="s">
        <v>2</v>
      </c>
      <c r="G10" s="14"/>
      <c r="H10" s="28"/>
      <c r="I10" s="1"/>
    </row>
    <row r="11" spans="1:9" x14ac:dyDescent="0.25">
      <c r="A11" s="1"/>
      <c r="B11" s="99" t="s">
        <v>112</v>
      </c>
      <c r="C11" s="100"/>
      <c r="D11" s="101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3" t="s">
        <v>107</v>
      </c>
      <c r="C12" s="44"/>
      <c r="D12" s="45"/>
      <c r="E12" s="17">
        <f>E9-(E10-E11)</f>
        <v>1329084.9626472369</v>
      </c>
      <c r="F12" s="25" t="s">
        <v>2</v>
      </c>
      <c r="G12" s="17">
        <f>E12</f>
        <v>1329084.9626472369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9" t="s">
        <v>117</v>
      </c>
      <c r="C17" s="90"/>
      <c r="D17" s="90"/>
      <c r="E17" s="90"/>
      <c r="F17" s="90"/>
      <c r="G17" s="90"/>
      <c r="H17" s="91"/>
      <c r="I17" s="1"/>
    </row>
    <row r="18" spans="1:9" x14ac:dyDescent="0.25">
      <c r="A18" s="1"/>
      <c r="B18" s="102" t="s">
        <v>118</v>
      </c>
      <c r="C18" s="103"/>
      <c r="D18" s="104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102" t="s">
        <v>113</v>
      </c>
      <c r="C19" s="103"/>
      <c r="D19" s="104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102" t="s">
        <v>119</v>
      </c>
      <c r="C20" s="103"/>
      <c r="D20" s="104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89" t="s">
        <v>114</v>
      </c>
      <c r="C21" s="90"/>
      <c r="D21" s="90"/>
      <c r="E21" s="90"/>
      <c r="F21" s="91"/>
      <c r="G21" s="20">
        <f>E20</f>
        <v>0</v>
      </c>
      <c r="H21" s="21" t="s">
        <v>2</v>
      </c>
      <c r="I21" s="1"/>
    </row>
    <row r="22" spans="1:9" x14ac:dyDescent="0.25">
      <c r="A22" s="1"/>
      <c r="B22" s="89" t="s">
        <v>115</v>
      </c>
      <c r="C22" s="90"/>
      <c r="D22" s="90"/>
      <c r="E22" s="90"/>
      <c r="F22" s="91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3:H4"/>
    <mergeCell ref="B8:H8"/>
    <mergeCell ref="B17:H17"/>
    <mergeCell ref="B9:D9"/>
    <mergeCell ref="B10:D10"/>
    <mergeCell ref="B11:D11"/>
    <mergeCell ref="B18:D18"/>
    <mergeCell ref="B19:D19"/>
    <mergeCell ref="B20:D20"/>
    <mergeCell ref="B21:F21"/>
    <mergeCell ref="B22:F22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130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127</v>
      </c>
      <c r="C8" s="90"/>
      <c r="D8" s="90"/>
      <c r="E8" s="90"/>
      <c r="F8" s="90"/>
      <c r="G8" s="90"/>
      <c r="H8" s="91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x14ac:dyDescent="0.25">
      <c r="A10" s="1"/>
      <c r="B10" s="59" t="s">
        <v>141</v>
      </c>
      <c r="C10" s="60" t="s">
        <v>144</v>
      </c>
      <c r="D10" s="11">
        <v>5461788</v>
      </c>
      <c r="E10" s="11">
        <f>D10/C10</f>
        <v>273089.40000000002</v>
      </c>
      <c r="F10" s="11">
        <v>0</v>
      </c>
      <c r="G10" s="11">
        <v>87984</v>
      </c>
      <c r="H10" s="22" t="s">
        <v>2</v>
      </c>
      <c r="I10" s="1"/>
    </row>
    <row r="11" spans="1:9" ht="26.25" x14ac:dyDescent="0.25">
      <c r="A11" s="1"/>
      <c r="B11" s="59" t="s">
        <v>142</v>
      </c>
      <c r="C11" s="60" t="s">
        <v>145</v>
      </c>
      <c r="D11" s="11">
        <v>682724</v>
      </c>
      <c r="E11" s="11">
        <f t="shared" ref="E11:E12" si="0">D11/C11</f>
        <v>11378.733333333334</v>
      </c>
      <c r="F11" s="11">
        <v>0</v>
      </c>
      <c r="G11" s="11">
        <v>10998</v>
      </c>
      <c r="H11" s="22" t="s">
        <v>2</v>
      </c>
      <c r="I11" s="1"/>
    </row>
    <row r="12" spans="1:9" x14ac:dyDescent="0.25">
      <c r="A12" s="1"/>
      <c r="B12" s="59" t="s">
        <v>143</v>
      </c>
      <c r="C12" s="60" t="s">
        <v>146</v>
      </c>
      <c r="D12" s="11">
        <v>682724</v>
      </c>
      <c r="E12" s="11">
        <f t="shared" si="0"/>
        <v>68272.399999999994</v>
      </c>
      <c r="F12" s="11">
        <v>0</v>
      </c>
      <c r="G12" s="11">
        <v>10998</v>
      </c>
      <c r="H12" s="22" t="s">
        <v>2</v>
      </c>
      <c r="I12" s="1"/>
    </row>
    <row r="13" spans="1:9" x14ac:dyDescent="0.25">
      <c r="A13" s="1"/>
      <c r="B13" s="89" t="s">
        <v>131</v>
      </c>
      <c r="C13" s="90"/>
      <c r="D13" s="91"/>
      <c r="E13" s="20">
        <f>SUM(E10:E12)</f>
        <v>352740.53333333333</v>
      </c>
      <c r="F13" s="20">
        <f>SUM(F10:F12)</f>
        <v>0</v>
      </c>
      <c r="G13" s="20">
        <f>SUM(G10:G12)</f>
        <v>109980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3">
    <mergeCell ref="B3:H4"/>
    <mergeCell ref="B8:H8"/>
    <mergeCell ref="B13:D13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121</v>
      </c>
      <c r="C3" s="87"/>
      <c r="D3" s="87"/>
      <c r="E3" s="87"/>
      <c r="F3" s="87"/>
      <c r="G3" s="87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8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4" t="s">
        <v>127</v>
      </c>
      <c r="C10" s="55"/>
      <c r="D10" s="56">
        <f>'Fane 8. Anlægsprojekter'!F13</f>
        <v>0</v>
      </c>
      <c r="E10" s="22" t="s">
        <v>2</v>
      </c>
      <c r="F10" s="11">
        <f>SUM('Fane 8. Anlægsprojekter'!E13,'Fane 8. Anlægsprojekter'!G13)</f>
        <v>462720.53333333333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462720.53333333333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470540.51034666662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148</v>
      </c>
      <c r="C3" s="92"/>
      <c r="D3" s="92"/>
      <c r="E3" s="92"/>
      <c r="F3" s="92"/>
      <c r="G3" s="92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4" t="s">
        <v>133</v>
      </c>
      <c r="C10" s="61"/>
      <c r="D10" s="11">
        <v>431777.50041105325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431777.50041105325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439074.54016800004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149</v>
      </c>
      <c r="C3" s="92"/>
      <c r="D3" s="92"/>
      <c r="E3" s="92"/>
      <c r="F3" s="92"/>
      <c r="G3" s="1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62" t="s">
        <v>44</v>
      </c>
      <c r="C9" s="63"/>
      <c r="D9" s="63"/>
      <c r="E9" s="64"/>
      <c r="F9" s="57">
        <v>1.7500000000000002E-2</v>
      </c>
      <c r="G9" s="58"/>
      <c r="H9" s="1"/>
    </row>
    <row r="10" spans="1:8" x14ac:dyDescent="0.25">
      <c r="A10" s="1"/>
      <c r="B10" s="62" t="s">
        <v>45</v>
      </c>
      <c r="C10" s="63"/>
      <c r="D10" s="63"/>
      <c r="E10" s="64"/>
      <c r="F10" s="57">
        <v>1.6899999999999998E-2</v>
      </c>
      <c r="G10" s="58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62" t="s">
        <v>13</v>
      </c>
      <c r="C14" s="63"/>
      <c r="D14" s="63"/>
      <c r="E14" s="64"/>
      <c r="F14" s="57">
        <v>0.02</v>
      </c>
      <c r="G14" s="58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87" t="s">
        <v>41</v>
      </c>
      <c r="C3" s="87"/>
      <c r="D3" s="87"/>
      <c r="E3" s="87"/>
      <c r="F3" s="87"/>
      <c r="G3" s="1"/>
      <c r="I3" s="36"/>
    </row>
    <row r="4" spans="1:9" ht="15" customHeight="1" x14ac:dyDescent="0.25">
      <c r="A4" s="1"/>
      <c r="B4" s="87"/>
      <c r="C4" s="87"/>
      <c r="D4" s="87"/>
      <c r="E4" s="87"/>
      <c r="F4" s="87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65" t="s">
        <v>49</v>
      </c>
      <c r="C9" s="7">
        <f>'Fane 3. Omkostninger i ØR2018'!G13</f>
        <v>40781764.998959385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2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2" t="s">
        <v>63</v>
      </c>
      <c r="C11" s="11">
        <f>'Fane 9. Tillæg'!F12</f>
        <v>470540.51034666662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2" t="s">
        <v>66</v>
      </c>
      <c r="C12" s="11">
        <f>-'Fane 10. Bortfald'!D12</f>
        <v>-439074.54016800004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2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2" t="s">
        <v>37</v>
      </c>
      <c r="C14" s="11">
        <f>C9*Prisudvikling2018+SUM(C10:C13)*Prisudvikling2019</f>
        <v>714212.66237780883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2" t="s">
        <v>13</v>
      </c>
      <c r="C15" s="11">
        <f>-SUM(C9:C14)*IndividueltKrav</f>
        <v>-830548.87263031723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2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-298053.36029228958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2" t="s">
        <v>62</v>
      </c>
      <c r="C17" s="11">
        <f>-(('Fane 5. Generelt eff. krav'!G12-'Fane 5. Generelt eff. krav'!G11)*(1+Prisudvikling2018)*GenereltKravAnlæg2018+SUM(C11,C13)*(1+Prisudvikling2019)*GenereltKravAnlæg2019)</f>
        <v>-486078.79032776004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3" t="s">
        <v>40</v>
      </c>
      <c r="C18" s="17">
        <f>SUM(C9:C17)</f>
        <v>39912762.608265489</v>
      </c>
      <c r="D18" s="18" t="s">
        <v>2</v>
      </c>
      <c r="E18" s="17">
        <f>C18</f>
        <v>39912762.608265489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2" t="s">
        <v>140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2" t="s">
        <v>76</v>
      </c>
      <c r="C21" s="11">
        <f>-(C20*(GenereltKravDrift2018+IndividueltKrav))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2" t="s">
        <v>22</v>
      </c>
      <c r="C24" s="11">
        <f>'Fane 4. Ikke-påvirkelige omk.'!E17</f>
        <v>1455359.6784866797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2" t="s">
        <v>79</v>
      </c>
      <c r="C25" s="11">
        <v>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42" t="s">
        <v>147</v>
      </c>
      <c r="C26" s="11">
        <v>574094</v>
      </c>
      <c r="D26" s="8" t="s">
        <v>2</v>
      </c>
      <c r="E26" s="12"/>
      <c r="F26" s="13"/>
      <c r="G26" s="1"/>
    </row>
    <row r="27" spans="1:7" ht="15" customHeight="1" x14ac:dyDescent="0.25">
      <c r="A27" s="1"/>
      <c r="B27" s="29" t="s">
        <v>80</v>
      </c>
      <c r="C27" s="17">
        <f>SUM(C24:C26)</f>
        <v>2029453.6784866797</v>
      </c>
      <c r="D27" s="18" t="s">
        <v>2</v>
      </c>
      <c r="E27" s="17">
        <f>C27</f>
        <v>2029453.6784866797</v>
      </c>
      <c r="F27" s="18" t="s">
        <v>2</v>
      </c>
      <c r="G27" s="1"/>
    </row>
    <row r="28" spans="1:7" ht="15" customHeight="1" x14ac:dyDescent="0.25">
      <c r="A28" s="1"/>
      <c r="B28" s="39" t="s">
        <v>50</v>
      </c>
      <c r="C28" s="40"/>
      <c r="D28" s="40"/>
      <c r="E28" s="40"/>
      <c r="F28" s="41"/>
      <c r="G28" s="1"/>
    </row>
    <row r="29" spans="1:7" ht="15" customHeight="1" x14ac:dyDescent="0.25">
      <c r="A29" s="1"/>
      <c r="B29" s="65" t="s">
        <v>81</v>
      </c>
      <c r="C29" s="7">
        <v>0</v>
      </c>
      <c r="D29" s="8" t="s">
        <v>2</v>
      </c>
      <c r="E29" s="33"/>
      <c r="F29" s="13"/>
      <c r="G29" s="1"/>
    </row>
    <row r="30" spans="1:7" ht="15" customHeight="1" x14ac:dyDescent="0.25">
      <c r="A30" s="1"/>
      <c r="B30" s="65" t="s">
        <v>51</v>
      </c>
      <c r="C30" s="7">
        <v>-593662</v>
      </c>
      <c r="D30" s="8" t="s">
        <v>2</v>
      </c>
      <c r="E30" s="32"/>
      <c r="F30" s="13"/>
      <c r="G30" s="1"/>
    </row>
    <row r="31" spans="1:7" ht="28.5" customHeight="1" x14ac:dyDescent="0.25">
      <c r="A31" s="1"/>
      <c r="B31" s="42" t="s">
        <v>52</v>
      </c>
      <c r="C31" s="7">
        <v>6867.1391344713829</v>
      </c>
      <c r="D31" s="8" t="s">
        <v>2</v>
      </c>
      <c r="E31" s="32"/>
      <c r="F31" s="13"/>
      <c r="G31" s="1"/>
    </row>
    <row r="32" spans="1:7" ht="15" customHeight="1" x14ac:dyDescent="0.25">
      <c r="A32" s="1"/>
      <c r="B32" s="43" t="s">
        <v>53</v>
      </c>
      <c r="C32" s="17">
        <f>SUM(C29:C31)</f>
        <v>-586794.86086552858</v>
      </c>
      <c r="D32" s="18" t="s">
        <v>2</v>
      </c>
      <c r="E32" s="17">
        <f>C32</f>
        <v>-586794.86086552858</v>
      </c>
      <c r="F32" s="18" t="s">
        <v>2</v>
      </c>
      <c r="G32" s="1"/>
    </row>
    <row r="33" spans="1:7" x14ac:dyDescent="0.25">
      <c r="A33" s="1"/>
      <c r="B33" s="39" t="s">
        <v>15</v>
      </c>
      <c r="C33" s="40"/>
      <c r="D33" s="40"/>
      <c r="E33" s="40"/>
      <c r="F33" s="41"/>
      <c r="G33" s="1"/>
    </row>
    <row r="34" spans="1:7" ht="15" customHeight="1" x14ac:dyDescent="0.25">
      <c r="A34" s="1"/>
      <c r="B34" s="43" t="s">
        <v>24</v>
      </c>
      <c r="C34" s="17">
        <f>'Fane 6. Hist. over el. underdæk'!G13</f>
        <v>-2302010</v>
      </c>
      <c r="D34" s="18" t="s">
        <v>2</v>
      </c>
      <c r="E34" s="17">
        <f>C34</f>
        <v>-2302010</v>
      </c>
      <c r="F34" s="18" t="s">
        <v>2</v>
      </c>
      <c r="G34" s="1"/>
    </row>
    <row r="35" spans="1:7" x14ac:dyDescent="0.25">
      <c r="A35" s="1"/>
      <c r="B35" s="39" t="s">
        <v>33</v>
      </c>
      <c r="C35" s="40"/>
      <c r="D35" s="41"/>
      <c r="E35" s="20">
        <f>SUM(E18,E22,E27,E32,E34)</f>
        <v>39053411.425886646</v>
      </c>
      <c r="F35" s="21" t="s">
        <v>2</v>
      </c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42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25</v>
      </c>
      <c r="C8" s="90"/>
      <c r="D8" s="90"/>
      <c r="E8" s="90"/>
      <c r="F8" s="91"/>
      <c r="G8" s="1"/>
    </row>
    <row r="9" spans="1:7" ht="15" customHeight="1" x14ac:dyDescent="0.25">
      <c r="A9" s="1"/>
      <c r="B9" s="65" t="s">
        <v>55</v>
      </c>
      <c r="C9" s="7">
        <f>'Fane 2.1. Økonomisk ramme 2019'!E18</f>
        <v>39912762.608265489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2" t="s">
        <v>37</v>
      </c>
      <c r="C10" s="11">
        <f>SUM(C9:C9)*Prisudvikling2019</f>
        <v>674525.68807968672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2" t="s">
        <v>13</v>
      </c>
      <c r="C11" s="11">
        <f>-SUM(C9:C10)*IndividueltKrav</f>
        <v>-811745.76592690346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2" t="s">
        <v>61</v>
      </c>
      <c r="C12" s="11">
        <f>('Fane 2.1. Økonomisk ramme 2019'!C16/GenereltKravDrift2018-'Fane 2.1. Økonomisk ramme 2019'!C16)*(1+Prisudvikling2019)*GenereltKravDrift2019</f>
        <v>-297028.65283960471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2" t="s">
        <v>62</v>
      </c>
      <c r="C13" s="11">
        <f>(('Fane 2.1. Økonomisk ramme 2019'!C17/GenereltKravAnlæg2018-'Fane 2.1. Økonomisk ramme 2019'!C17)*(1+Prisudvikling2019)*GenereltKravAnlæg2019)</f>
        <v>-238657.4791501943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3" t="s">
        <v>40</v>
      </c>
      <c r="C14" s="17">
        <f>SUM(C9:C13)</f>
        <v>39239856.398428477</v>
      </c>
      <c r="D14" s="18" t="s">
        <v>2</v>
      </c>
      <c r="E14" s="17">
        <f>C14</f>
        <v>39239856.398428477</v>
      </c>
      <c r="F14" s="18" t="s">
        <v>2</v>
      </c>
      <c r="G14" s="1"/>
    </row>
    <row r="15" spans="1:7" ht="15" customHeight="1" x14ac:dyDescent="0.25">
      <c r="A15" s="1"/>
      <c r="B15" s="89" t="s">
        <v>74</v>
      </c>
      <c r="C15" s="90"/>
      <c r="D15" s="90"/>
      <c r="E15" s="90"/>
      <c r="F15" s="91"/>
      <c r="G15" s="1"/>
    </row>
    <row r="16" spans="1:7" ht="15" customHeight="1" x14ac:dyDescent="0.25">
      <c r="A16" s="1"/>
      <c r="B16" s="42" t="s">
        <v>140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2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89" t="s">
        <v>22</v>
      </c>
      <c r="C19" s="90"/>
      <c r="D19" s="90"/>
      <c r="E19" s="90"/>
      <c r="F19" s="91"/>
      <c r="G19" s="1"/>
    </row>
    <row r="20" spans="1:7" ht="15" customHeight="1" x14ac:dyDescent="0.25">
      <c r="A20" s="1"/>
      <c r="B20" s="42" t="s">
        <v>22</v>
      </c>
      <c r="C20" s="11">
        <f>'Fane 4. Ikke-påvirkelige omk.'!E17*(1+Prisudvikling2019)</f>
        <v>1479955.2570531045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2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42" t="s">
        <v>147</v>
      </c>
      <c r="C22" s="11">
        <v>574094</v>
      </c>
      <c r="D22" s="8" t="s">
        <v>2</v>
      </c>
      <c r="E22" s="14"/>
      <c r="F22" s="13"/>
      <c r="G22" s="1"/>
    </row>
    <row r="23" spans="1:7" ht="15" customHeight="1" x14ac:dyDescent="0.25">
      <c r="A23" s="1"/>
      <c r="B23" s="29" t="s">
        <v>80</v>
      </c>
      <c r="C23" s="17">
        <f>SUM(C20:C22)</f>
        <v>2054049.2570531045</v>
      </c>
      <c r="D23" s="18" t="s">
        <v>2</v>
      </c>
      <c r="E23" s="17">
        <f>C23</f>
        <v>2054049.2570531045</v>
      </c>
      <c r="F23" s="18" t="s">
        <v>2</v>
      </c>
      <c r="G23" s="1"/>
    </row>
    <row r="24" spans="1:7" x14ac:dyDescent="0.25">
      <c r="A24" s="1"/>
      <c r="B24" s="89" t="s">
        <v>15</v>
      </c>
      <c r="C24" s="90"/>
      <c r="D24" s="90"/>
      <c r="E24" s="90"/>
      <c r="F24" s="91"/>
      <c r="G24" s="1"/>
    </row>
    <row r="25" spans="1:7" ht="15" customHeight="1" x14ac:dyDescent="0.25">
      <c r="A25" s="1"/>
      <c r="B25" s="29" t="s">
        <v>24</v>
      </c>
      <c r="C25" s="17">
        <f>IF('Fane 6. Hist. over el. underdæk'!G12&gt;1,'Fane 6. Hist. over el. underdæk'!G13,0)</f>
        <v>-2302010</v>
      </c>
      <c r="D25" s="18" t="s">
        <v>2</v>
      </c>
      <c r="E25" s="17">
        <f>C25</f>
        <v>-2302010</v>
      </c>
      <c r="F25" s="18" t="s">
        <v>2</v>
      </c>
      <c r="G25" s="1"/>
    </row>
    <row r="26" spans="1:7" x14ac:dyDescent="0.25">
      <c r="A26" s="1"/>
      <c r="B26" s="89" t="s">
        <v>116</v>
      </c>
      <c r="C26" s="90"/>
      <c r="D26" s="90"/>
      <c r="E26" s="90"/>
      <c r="F26" s="91"/>
      <c r="G26" s="1"/>
    </row>
    <row r="27" spans="1:7" ht="15" customHeight="1" x14ac:dyDescent="0.25">
      <c r="A27" s="1"/>
      <c r="B27" s="29" t="s">
        <v>108</v>
      </c>
      <c r="C27" s="17">
        <f>'Fane 7. Kontrol af ØR2017'!G22</f>
        <v>0</v>
      </c>
      <c r="D27" s="18" t="s">
        <v>2</v>
      </c>
      <c r="E27" s="17">
        <f>C27</f>
        <v>0</v>
      </c>
      <c r="F27" s="18" t="s">
        <v>2</v>
      </c>
      <c r="G27" s="1"/>
    </row>
    <row r="28" spans="1:7" x14ac:dyDescent="0.25">
      <c r="A28" s="1"/>
      <c r="B28" s="39" t="s">
        <v>56</v>
      </c>
      <c r="C28" s="40"/>
      <c r="D28" s="41"/>
      <c r="E28" s="20">
        <f>SUM(E14,E18,E23,E25,E27)</f>
        <v>38991895.655481584</v>
      </c>
      <c r="F28" s="21" t="s">
        <v>2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password="DFE9" sheet="1" objects="1" scenarios="1"/>
  <mergeCells count="7">
    <mergeCell ref="B3:F4"/>
    <mergeCell ref="B5:F5"/>
    <mergeCell ref="B26:F26"/>
    <mergeCell ref="B24:F24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91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65" t="s">
        <v>57</v>
      </c>
      <c r="C9" s="7">
        <f>'Fane 2.2. Økonomisk ramme 2020'!E14</f>
        <v>39239856.398428477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2" t="s">
        <v>37</v>
      </c>
      <c r="C10" s="11">
        <f>C9*Prisudvikling2019</f>
        <v>663153.57313344115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2" t="s">
        <v>13</v>
      </c>
      <c r="C11" s="11">
        <f>-SUM(C9:C10)*IndividueltKrav</f>
        <v>-798060.19943123835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2" t="s">
        <v>61</v>
      </c>
      <c r="C12" s="11">
        <f>(('Fane 2.2. Økonomisk ramme 2020'!C12/GenereltKravDrift2019-'Fane 2.2. Økonomisk ramme 2020'!C12)*(1+Prisudvikling2019)*GenereltKravDrift2019)</f>
        <v>-296007.4683311421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2" t="s">
        <v>62</v>
      </c>
      <c r="C13" s="11">
        <f>(('Fane 2.2. Økonomisk ramme 2020'!C13/GenereltKravAnlæg2019-'Fane 2.2. Økonomisk ramme 2020'!C13)*(1+Prisudvikling2019)*GenereltKravAnlæg2019)</f>
        <v>-240579.3806700664</v>
      </c>
      <c r="D13" s="8" t="s">
        <v>2</v>
      </c>
      <c r="E13" s="15"/>
      <c r="F13" s="16"/>
      <c r="G13" s="1"/>
    </row>
    <row r="14" spans="1:7" x14ac:dyDescent="0.25">
      <c r="A14" s="1"/>
      <c r="B14" s="43" t="s">
        <v>40</v>
      </c>
      <c r="C14" s="17">
        <f>SUM(C9:C13)</f>
        <v>38568362.923129469</v>
      </c>
      <c r="D14" s="18" t="s">
        <v>2</v>
      </c>
      <c r="E14" s="17">
        <f>C14</f>
        <v>38568362.923129469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2" t="s">
        <v>140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2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2" t="s">
        <v>22</v>
      </c>
      <c r="C20" s="11">
        <f>'Fane 4. Ikke-påvirkelige omk.'!E17*(1+Prisudvikling2019)^2</f>
        <v>1504966.5008973016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2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42" t="s">
        <v>147</v>
      </c>
      <c r="C22" s="11">
        <v>574094</v>
      </c>
      <c r="D22" s="8" t="s">
        <v>2</v>
      </c>
      <c r="E22" s="14"/>
      <c r="F22" s="13"/>
      <c r="G22" s="1"/>
    </row>
    <row r="23" spans="1:7" ht="15" customHeight="1" x14ac:dyDescent="0.25">
      <c r="A23" s="1"/>
      <c r="B23" s="29" t="s">
        <v>80</v>
      </c>
      <c r="C23" s="17">
        <f>SUM(C20:C22)</f>
        <v>2079060.5008973016</v>
      </c>
      <c r="D23" s="18" t="s">
        <v>2</v>
      </c>
      <c r="E23" s="17">
        <f>C23</f>
        <v>2079060.5008973016</v>
      </c>
      <c r="F23" s="18" t="s">
        <v>2</v>
      </c>
      <c r="G23" s="1"/>
    </row>
    <row r="24" spans="1:7" ht="15" customHeight="1" x14ac:dyDescent="0.25">
      <c r="A24" s="1"/>
      <c r="B24" s="39" t="s">
        <v>116</v>
      </c>
      <c r="C24" s="40"/>
      <c r="D24" s="40"/>
      <c r="E24" s="40"/>
      <c r="F24" s="41"/>
      <c r="G24" s="1"/>
    </row>
    <row r="25" spans="1:7" ht="15" customHeight="1" x14ac:dyDescent="0.25">
      <c r="A25" s="1"/>
      <c r="B25" s="29" t="s">
        <v>108</v>
      </c>
      <c r="C25" s="17">
        <f>'Fane 2.2. Økonomisk ramme 2020'!C27*(1+Prisudvikling2019)</f>
        <v>0</v>
      </c>
      <c r="D25" s="18" t="s">
        <v>2</v>
      </c>
      <c r="E25" s="17">
        <f>C25</f>
        <v>0</v>
      </c>
      <c r="F25" s="18" t="s">
        <v>2</v>
      </c>
      <c r="G25" s="1"/>
    </row>
    <row r="26" spans="1:7" x14ac:dyDescent="0.25">
      <c r="A26" s="1"/>
      <c r="B26" s="39" t="s">
        <v>68</v>
      </c>
      <c r="C26" s="40"/>
      <c r="D26" s="41"/>
      <c r="E26" s="20">
        <f>SUM(E14,E18,E23,E25)</f>
        <v>40647423.424026772</v>
      </c>
      <c r="F26" s="21" t="s">
        <v>2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65" t="s">
        <v>58</v>
      </c>
      <c r="C8" s="7">
        <f>'Fane 2.3. Økonomisk ramme 2021'!E14</f>
        <v>38568362.923129469</v>
      </c>
      <c r="D8" s="8" t="s">
        <v>2</v>
      </c>
      <c r="E8" s="9"/>
      <c r="F8" s="10"/>
      <c r="G8" s="1"/>
    </row>
    <row r="9" spans="1:7" ht="15" customHeight="1" x14ac:dyDescent="0.25">
      <c r="A9" s="1"/>
      <c r="B9" s="42" t="s">
        <v>37</v>
      </c>
      <c r="C9" s="11">
        <f>C8*Prisudvikling2019</f>
        <v>651805.33340088802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2" t="s">
        <v>13</v>
      </c>
      <c r="C10" s="11">
        <f>-SUM(C8:C9)*IndividueltKrav</f>
        <v>-784403.36513060716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2" t="s">
        <v>61</v>
      </c>
      <c r="C11" s="11">
        <f>('Fane 2.3. Økonomisk ramme 2021'!C12/GenereltKravDrift2019-'Fane 2.3. Økonomisk ramme 2021'!C12)*(1+Prisudvikling2019)*GenereltKravDrift2019</f>
        <v>-294989.79465501965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2" t="s">
        <v>62</v>
      </c>
      <c r="C12" s="11">
        <f>('Fane 2.3. Økonomisk ramme 2021'!C13/GenereltKravAnlæg2019-'Fane 2.3. Økonomisk ramme 2021'!C13)*(1+Prisudvikling2019)*GenereltKravAnlæg2019</f>
        <v>-242516.75920522099</v>
      </c>
      <c r="D12" s="8" t="s">
        <v>2</v>
      </c>
      <c r="E12" s="15"/>
      <c r="F12" s="16"/>
      <c r="G12" s="1"/>
    </row>
    <row r="13" spans="1:7" x14ac:dyDescent="0.25">
      <c r="A13" s="1"/>
      <c r="B13" s="43" t="s">
        <v>40</v>
      </c>
      <c r="C13" s="17">
        <f>SUM(C8:C12)</f>
        <v>37898258.337539509</v>
      </c>
      <c r="D13" s="18" t="s">
        <v>2</v>
      </c>
      <c r="E13" s="17">
        <f>C13</f>
        <v>37898258.337539509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2" t="s">
        <v>140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2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2" t="s">
        <v>22</v>
      </c>
      <c r="C19" s="11">
        <f>'Fane 4. Ikke-påvirkelige omk.'!E17*(1+Prisudvikling2019)^3</f>
        <v>1530400.4347624658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2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42" t="s">
        <v>147</v>
      </c>
      <c r="C21" s="11">
        <v>574094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SUM(C19:C21)</f>
        <v>2104494.4347624658</v>
      </c>
      <c r="D22" s="18" t="s">
        <v>2</v>
      </c>
      <c r="E22" s="17">
        <f>C22</f>
        <v>2104494.4347624658</v>
      </c>
      <c r="F22" s="18" t="s">
        <v>2</v>
      </c>
      <c r="G22" s="1"/>
    </row>
    <row r="23" spans="1:7" x14ac:dyDescent="0.25">
      <c r="A23" s="1"/>
      <c r="B23" s="39" t="s">
        <v>78</v>
      </c>
      <c r="C23" s="40"/>
      <c r="D23" s="41"/>
      <c r="E23" s="20">
        <f>SUM(E13,E17,E22)</f>
        <v>40002752.772301972</v>
      </c>
      <c r="F23" s="21" t="s">
        <v>2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93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2" t="s">
        <v>32</v>
      </c>
      <c r="C9" s="63"/>
      <c r="D9" s="63"/>
      <c r="E9" s="63"/>
      <c r="F9" s="64"/>
      <c r="G9" s="11">
        <v>43936838.060297251</v>
      </c>
      <c r="H9" s="22" t="s">
        <v>2</v>
      </c>
      <c r="I9" s="1"/>
    </row>
    <row r="10" spans="1:9" x14ac:dyDescent="0.25">
      <c r="A10" s="1"/>
      <c r="B10" s="46" t="s">
        <v>73</v>
      </c>
      <c r="C10" s="63"/>
      <c r="D10" s="63"/>
      <c r="E10" s="63"/>
      <c r="F10" s="64"/>
      <c r="G10" s="11">
        <v>0</v>
      </c>
      <c r="H10" s="22" t="s">
        <v>2</v>
      </c>
      <c r="I10" s="1"/>
    </row>
    <row r="11" spans="1:9" x14ac:dyDescent="0.25">
      <c r="A11" s="1"/>
      <c r="B11" s="46" t="s">
        <v>48</v>
      </c>
      <c r="C11" s="63"/>
      <c r="D11" s="63"/>
      <c r="E11" s="63"/>
      <c r="F11" s="64"/>
      <c r="G11" s="11">
        <v>3155073.0613378659</v>
      </c>
      <c r="H11" s="22" t="s">
        <v>2</v>
      </c>
      <c r="I11" s="1"/>
    </row>
    <row r="12" spans="1:9" x14ac:dyDescent="0.25">
      <c r="A12" s="1"/>
      <c r="B12" s="46" t="s">
        <v>75</v>
      </c>
      <c r="C12" s="63"/>
      <c r="D12" s="63"/>
      <c r="E12" s="63"/>
      <c r="F12" s="64"/>
      <c r="G12" s="11">
        <v>0</v>
      </c>
      <c r="H12" s="22" t="s">
        <v>2</v>
      </c>
      <c r="I12" s="1"/>
    </row>
    <row r="13" spans="1:9" ht="26.25" customHeight="1" x14ac:dyDescent="0.25">
      <c r="A13" s="1"/>
      <c r="B13" s="47" t="s">
        <v>59</v>
      </c>
      <c r="C13" s="40"/>
      <c r="D13" s="40"/>
      <c r="E13" s="40"/>
      <c r="F13" s="41"/>
      <c r="G13" s="34">
        <f>G9-G10-G11</f>
        <v>40781764.998959385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102</v>
      </c>
      <c r="C3" s="87"/>
      <c r="D3" s="87"/>
      <c r="E3" s="87"/>
      <c r="F3" s="87"/>
      <c r="G3" s="1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3" t="s">
        <v>111</v>
      </c>
      <c r="C9" s="30"/>
      <c r="D9" s="37"/>
      <c r="E9" s="48" t="s">
        <v>47</v>
      </c>
      <c r="F9" s="18"/>
      <c r="G9" s="1"/>
      <c r="H9" s="1"/>
    </row>
    <row r="10" spans="1:8" x14ac:dyDescent="0.25">
      <c r="A10" s="1"/>
      <c r="B10" s="93" t="s">
        <v>134</v>
      </c>
      <c r="C10" s="94"/>
      <c r="D10" s="95"/>
      <c r="E10" s="11">
        <v>732918</v>
      </c>
      <c r="F10" s="22" t="s">
        <v>2</v>
      </c>
      <c r="G10" s="1"/>
      <c r="H10" s="1"/>
    </row>
    <row r="11" spans="1:8" x14ac:dyDescent="0.25">
      <c r="A11" s="1"/>
      <c r="B11" s="93" t="s">
        <v>135</v>
      </c>
      <c r="C11" s="94"/>
      <c r="D11" s="95"/>
      <c r="E11" s="11">
        <v>27999</v>
      </c>
      <c r="F11" s="22" t="s">
        <v>2</v>
      </c>
      <c r="G11" s="1"/>
      <c r="H11" s="1"/>
    </row>
    <row r="12" spans="1:8" ht="27.75" customHeight="1" x14ac:dyDescent="0.25">
      <c r="A12" s="1"/>
      <c r="B12" s="96" t="s">
        <v>136</v>
      </c>
      <c r="C12" s="97"/>
      <c r="D12" s="98"/>
      <c r="E12" s="11">
        <v>306000</v>
      </c>
      <c r="F12" s="22" t="s">
        <v>2</v>
      </c>
      <c r="G12" s="1"/>
      <c r="H12" s="1"/>
    </row>
    <row r="13" spans="1:8" x14ac:dyDescent="0.25">
      <c r="A13" s="1"/>
      <c r="B13" s="93" t="s">
        <v>137</v>
      </c>
      <c r="C13" s="94"/>
      <c r="D13" s="95"/>
      <c r="E13" s="11">
        <v>109079</v>
      </c>
      <c r="F13" s="22" t="s">
        <v>2</v>
      </c>
      <c r="G13" s="1"/>
      <c r="H13" s="1"/>
    </row>
    <row r="14" spans="1:8" x14ac:dyDescent="0.25">
      <c r="A14" s="1"/>
      <c r="B14" s="93" t="s">
        <v>138</v>
      </c>
      <c r="C14" s="94"/>
      <c r="D14" s="95"/>
      <c r="E14" s="11">
        <v>161977</v>
      </c>
      <c r="F14" s="22" t="s">
        <v>2</v>
      </c>
      <c r="G14" s="1"/>
      <c r="H14" s="1"/>
    </row>
    <row r="15" spans="1:8" x14ac:dyDescent="0.25">
      <c r="A15" s="1"/>
      <c r="B15" s="93" t="s">
        <v>139</v>
      </c>
      <c r="C15" s="94"/>
      <c r="D15" s="95"/>
      <c r="E15" s="11">
        <v>69415</v>
      </c>
      <c r="F15" s="22" t="s">
        <v>2</v>
      </c>
      <c r="G15" s="1"/>
      <c r="H15" s="1"/>
    </row>
    <row r="16" spans="1:8" x14ac:dyDescent="0.25">
      <c r="A16" s="1"/>
      <c r="B16" s="89" t="s">
        <v>128</v>
      </c>
      <c r="C16" s="90"/>
      <c r="D16" s="91"/>
      <c r="E16" s="20">
        <f>SUM(E10:E15)</f>
        <v>1407388</v>
      </c>
      <c r="F16" s="21" t="s">
        <v>2</v>
      </c>
      <c r="G16" s="1"/>
      <c r="H16" s="1"/>
    </row>
    <row r="17" spans="1:8" x14ac:dyDescent="0.25">
      <c r="A17" s="1"/>
      <c r="B17" s="89" t="s">
        <v>129</v>
      </c>
      <c r="C17" s="90"/>
      <c r="D17" s="91"/>
      <c r="E17" s="20">
        <f>E16*(1+Prisudvikling2019)^2</f>
        <v>1455359.6784866797</v>
      </c>
      <c r="F17" s="21" t="s">
        <v>2</v>
      </c>
      <c r="G17" s="1"/>
      <c r="H17" s="1"/>
    </row>
    <row r="18" spans="1:8" x14ac:dyDescent="0.25">
      <c r="A18" s="1"/>
      <c r="B18" s="24"/>
      <c r="C18" s="23"/>
      <c r="D18" s="23"/>
      <c r="E18" s="23"/>
      <c r="F18" s="23"/>
      <c r="G18" s="1"/>
      <c r="H18" s="1"/>
    </row>
    <row r="19" spans="1:8" x14ac:dyDescent="0.25">
      <c r="A19" s="1"/>
      <c r="B19" s="23"/>
      <c r="C19" s="23"/>
      <c r="D19" s="23"/>
      <c r="E19" s="23"/>
      <c r="F19" s="23"/>
      <c r="G19" s="1"/>
      <c r="H19" s="1"/>
    </row>
    <row r="20" spans="1:8" x14ac:dyDescent="0.25">
      <c r="A20" s="1"/>
      <c r="B20" s="1"/>
      <c r="C20" s="1"/>
      <c r="D20" s="1"/>
      <c r="E20" s="23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</row>
  </sheetData>
  <sheetProtection password="DFE9" sheet="1" objects="1" scenarios="1"/>
  <mergeCells count="9">
    <mergeCell ref="B3:F4"/>
    <mergeCell ref="B16:D16"/>
    <mergeCell ref="B17:D17"/>
    <mergeCell ref="B10:D10"/>
    <mergeCell ref="B14:D14"/>
    <mergeCell ref="B15:D15"/>
    <mergeCell ref="B13:D13"/>
    <mergeCell ref="B12:D12"/>
    <mergeCell ref="B11:D11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2" t="s">
        <v>82</v>
      </c>
      <c r="C9" s="63"/>
      <c r="D9" s="63"/>
      <c r="E9" s="63"/>
      <c r="F9" s="64"/>
      <c r="G9" s="52">
        <v>307860.66117457382</v>
      </c>
      <c r="H9" s="22" t="s">
        <v>2</v>
      </c>
      <c r="I9" s="1"/>
    </row>
    <row r="10" spans="1:9" x14ac:dyDescent="0.25">
      <c r="A10" s="1"/>
      <c r="B10" s="62" t="s">
        <v>83</v>
      </c>
      <c r="C10" s="63"/>
      <c r="D10" s="63"/>
      <c r="E10" s="63"/>
      <c r="F10" s="64"/>
      <c r="G10" s="52">
        <f>G9/GenereltKravDrift2018</f>
        <v>15393033.058728691</v>
      </c>
      <c r="H10" s="22" t="s">
        <v>2</v>
      </c>
      <c r="I10" s="1"/>
    </row>
    <row r="11" spans="1:9" x14ac:dyDescent="0.25">
      <c r="A11" s="1"/>
      <c r="B11" s="62" t="s">
        <v>84</v>
      </c>
      <c r="C11" s="63"/>
      <c r="D11" s="63"/>
      <c r="E11" s="63"/>
      <c r="F11" s="64"/>
      <c r="G11" s="52">
        <v>482161.68623606657</v>
      </c>
      <c r="H11" s="22" t="s">
        <v>2</v>
      </c>
      <c r="I11" s="1"/>
    </row>
    <row r="12" spans="1:9" x14ac:dyDescent="0.25">
      <c r="A12" s="1"/>
      <c r="B12" s="62" t="s">
        <v>85</v>
      </c>
      <c r="C12" s="63"/>
      <c r="D12" s="63"/>
      <c r="E12" s="63"/>
      <c r="F12" s="64"/>
      <c r="G12" s="52">
        <f>G11/GenereltKravAnlæg2018</f>
        <v>27240773.233676076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9" t="s">
        <v>87</v>
      </c>
      <c r="C17" s="100"/>
      <c r="D17" s="100"/>
      <c r="E17" s="100"/>
      <c r="F17" s="101"/>
      <c r="G17" s="53">
        <v>0.02</v>
      </c>
      <c r="H17" s="22"/>
      <c r="I17" s="1"/>
    </row>
    <row r="18" spans="1:9" x14ac:dyDescent="0.25">
      <c r="A18" s="1"/>
      <c r="B18" s="99" t="s">
        <v>86</v>
      </c>
      <c r="C18" s="100"/>
      <c r="D18" s="100"/>
      <c r="E18" s="100"/>
      <c r="F18" s="101"/>
      <c r="G18" s="53">
        <v>0.02</v>
      </c>
      <c r="H18" s="22"/>
      <c r="I18" s="1"/>
    </row>
    <row r="19" spans="1:9" x14ac:dyDescent="0.25">
      <c r="A19" s="1"/>
      <c r="B19" s="99" t="s">
        <v>88</v>
      </c>
      <c r="C19" s="100"/>
      <c r="D19" s="100"/>
      <c r="E19" s="100"/>
      <c r="F19" s="101"/>
      <c r="G19" s="53">
        <v>1.77E-2</v>
      </c>
      <c r="H19" s="22"/>
      <c r="I19" s="1"/>
    </row>
    <row r="20" spans="1:9" x14ac:dyDescent="0.25">
      <c r="A20" s="1"/>
      <c r="B20" s="99" t="s">
        <v>132</v>
      </c>
      <c r="C20" s="100"/>
      <c r="D20" s="100"/>
      <c r="E20" s="100"/>
      <c r="F20" s="101"/>
      <c r="G20" s="53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125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2" t="s">
        <v>17</v>
      </c>
      <c r="C9" s="63"/>
      <c r="D9" s="63"/>
      <c r="E9" s="63"/>
      <c r="F9" s="64"/>
      <c r="G9" s="11">
        <v>-20251973</v>
      </c>
      <c r="H9" s="22" t="s">
        <v>2</v>
      </c>
      <c r="I9" s="1"/>
    </row>
    <row r="10" spans="1:9" x14ac:dyDescent="0.25">
      <c r="A10" s="1"/>
      <c r="B10" s="62" t="s">
        <v>46</v>
      </c>
      <c r="C10" s="63"/>
      <c r="D10" s="63"/>
      <c r="E10" s="63"/>
      <c r="F10" s="64"/>
      <c r="G10" s="11">
        <v>-15647953</v>
      </c>
      <c r="H10" s="22" t="s">
        <v>2</v>
      </c>
      <c r="I10" s="1"/>
    </row>
    <row r="11" spans="1:9" x14ac:dyDescent="0.25">
      <c r="A11" s="1"/>
      <c r="B11" s="49" t="s">
        <v>20</v>
      </c>
      <c r="C11" s="50"/>
      <c r="D11" s="50"/>
      <c r="E11" s="50"/>
      <c r="F11" s="51"/>
      <c r="G11" s="31">
        <f>G9-G10</f>
        <v>-4604020</v>
      </c>
      <c r="H11" s="26" t="s">
        <v>2</v>
      </c>
      <c r="I11" s="1"/>
    </row>
    <row r="12" spans="1:9" x14ac:dyDescent="0.25">
      <c r="A12" s="1"/>
      <c r="B12" s="62" t="s">
        <v>18</v>
      </c>
      <c r="C12" s="63"/>
      <c r="D12" s="63"/>
      <c r="E12" s="63"/>
      <c r="F12" s="64"/>
      <c r="G12" s="11">
        <v>2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-2302010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2018-08-29T09:35:32Z</dcterms:modified>
</cp:coreProperties>
</file>