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C10" i="23" l="1"/>
  <c r="C11" i="22"/>
  <c r="C11" i="15"/>
  <c r="E12" i="34" l="1"/>
  <c r="E18" i="34" l="1"/>
  <c r="E20" i="34" s="1"/>
  <c r="G21" i="34" s="1"/>
  <c r="G22" i="34" s="1"/>
  <c r="C26" i="15" s="1"/>
  <c r="E26" i="15" s="1"/>
  <c r="C16" i="23" l="1"/>
  <c r="C17" i="22"/>
  <c r="C17" i="15"/>
  <c r="C21" i="2"/>
  <c r="G12" i="34" l="1"/>
  <c r="C24" i="22" s="1"/>
  <c r="E24" i="22" s="1"/>
  <c r="G10" i="30" l="1"/>
  <c r="G12" i="30"/>
  <c r="G11" i="11" l="1"/>
  <c r="F11" i="11"/>
  <c r="D10" i="20" s="1"/>
  <c r="C31" i="2" l="1"/>
  <c r="C17" i="23" l="1"/>
  <c r="E17" i="23" s="1"/>
  <c r="C18" i="22" l="1"/>
  <c r="E18" i="22" s="1"/>
  <c r="C18" i="15"/>
  <c r="E18" i="15" s="1"/>
  <c r="C22" i="2"/>
  <c r="E22" i="2" s="1"/>
  <c r="G13" i="27"/>
  <c r="D11" i="20" l="1"/>
  <c r="F11" i="21"/>
  <c r="F12" i="21" s="1"/>
  <c r="C13" i="2" s="1"/>
  <c r="D11" i="21"/>
  <c r="D12" i="21" s="1"/>
  <c r="C12" i="2" s="1"/>
  <c r="C9" i="2"/>
  <c r="E14" i="19"/>
  <c r="E15" i="19" s="1"/>
  <c r="C24" i="2" l="1"/>
  <c r="C26" i="2" s="1"/>
  <c r="E26" i="2" s="1"/>
  <c r="C20" i="22"/>
  <c r="C22" i="22" s="1"/>
  <c r="E22" i="22" s="1"/>
  <c r="C19" i="23"/>
  <c r="C20" i="15"/>
  <c r="C22" i="15" l="1"/>
  <c r="E22" i="15" s="1"/>
  <c r="C21" i="23"/>
  <c r="E21" i="23" s="1"/>
  <c r="G11" i="10"/>
  <c r="E31" i="2" l="1"/>
  <c r="G13" i="10"/>
  <c r="C24" i="15" s="1"/>
  <c r="E24" i="15" l="1"/>
  <c r="D12" i="20"/>
  <c r="C10" i="2" s="1"/>
  <c r="C16" i="2" s="1"/>
  <c r="C12" i="15" l="1"/>
  <c r="C12" i="22" s="1"/>
  <c r="C11" i="23" s="1"/>
  <c r="E11" i="11" l="1"/>
  <c r="F10" i="20" s="1"/>
  <c r="F11" i="20" s="1"/>
  <c r="F12" i="20" s="1"/>
  <c r="C11" i="2" s="1"/>
  <c r="C17" i="2" s="1"/>
  <c r="C33" i="2"/>
  <c r="E33" i="2" s="1"/>
  <c r="C13" i="15" l="1"/>
  <c r="C13" i="22" s="1"/>
  <c r="C12" i="23" s="1"/>
  <c r="C14" i="2"/>
  <c r="C15" i="2" s="1"/>
  <c r="C18" i="2" l="1"/>
  <c r="E18" i="2" s="1"/>
  <c r="E34" i="2" s="1"/>
  <c r="C9" i="15" l="1"/>
  <c r="C10" i="15" l="1"/>
  <c r="C14" i="15" l="1"/>
  <c r="E14" i="15" s="1"/>
  <c r="E27" i="15" s="1"/>
  <c r="C9" i="22" l="1"/>
  <c r="C10" i="22" l="1"/>
  <c r="C14" i="22" l="1"/>
  <c r="E14" i="22" s="1"/>
  <c r="E25" i="22" s="1"/>
  <c r="C8" i="23" l="1"/>
  <c r="C9" i="23" l="1"/>
  <c r="C13" i="23" s="1"/>
  <c r="E13" i="23" s="1"/>
  <c r="E22" i="23" s="1"/>
</calcChain>
</file>

<file path=xl/sharedStrings.xml><?xml version="1.0" encoding="utf-8"?>
<sst xmlns="http://schemas.openxmlformats.org/spreadsheetml/2006/main" count="321" uniqueCount="142">
  <si>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</si>
  <si>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</si>
  <si>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</si>
  <si>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</si>
  <si>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</si>
  <si>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</si>
  <si>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</si>
  <si>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</si>
  <si>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</si>
  <si>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</si>
  <si>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</si>
  <si>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</si>
  <si>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</si>
  <si>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</si>
  <si>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</si>
  <si>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</si>
  <si>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</si>
  <si>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</si>
  <si>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</si>
  <si>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</si>
  <si>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</si>
  <si>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</si>
  <si>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</si>
  <si>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</si>
  <si>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</si>
  <si>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</si>
  <si>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</si>
  <si>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</si>
  <si>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</si>
  <si>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</si>
  <si>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</si>
  <si>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</si>
  <si>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</si>
  <si>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</si>
  <si>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</si>
  <si>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</si>
  <si>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</si>
  <si>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</si>
  <si>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</si>
  <si>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</si>
  <si>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</si>
  <si>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</si>
  <si>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</si>
  <si>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</si>
  <si>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</si>
  <si>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</si>
  <si>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</si>
  <si>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</si>
  <si>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</si>
  <si>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</si>
  <si>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</si>
  <si>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</si>
  <si>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</si>
  <si>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</si>
  <si>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</si>
  <si>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</si>
  <si>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</si>
  <si>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</si>
  <si>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</si>
  <si>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</si>
  <si>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</si>
  <si>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</si>
  <si>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</si>
  <si>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</si>
  <si>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</si>
  <si>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</si>
  <si>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</si>
  <si>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</si>
  <si>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</si>
  <si>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</si>
  <si>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</si>
  <si>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</si>
  <si>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</si>
  <si>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</si>
  <si>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</si>
  <si>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</si>
  <si>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</si>
  <si>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</si>
  <si>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</si>
  <si>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</si>
  <si>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</si>
  <si>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</si>
  <si>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</si>
  <si>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</si>
  <si>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</si>
  <si>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</si>
  <si>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</si>
  <si>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</si>
  <si>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</si>
  <si>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</si>
  <si>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</si>
  <si>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</si>
  <si>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</si>
  <si>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</si>
  <si>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</si>
  <si>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</si>
  <si>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</si>
  <si>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</si>
  <si>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</si>
  <si>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</si>
  <si>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</si>
  <si>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</si>
  <si>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</si>
  <si>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</si>
  <si>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</si>
  <si>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</si>
  <si>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</si>
  <si>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</si>
  <si>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</si>
  <si>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</si>
  <si>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</si>
  <si>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</si>
  <si>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</si>
  <si>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</si>
  <si>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</si>
  <si>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</si>
  <si>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</si>
  <si>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</si>
  <si>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</si>
  <si>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</si>
  <si>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</si>
  <si>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</si>
  <si>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</si>
  <si>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</si>
  <si>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</si>
  <si>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</si>
  <si>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</si>
  <si>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</si>
  <si>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</si>
  <si>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</si>
  <si>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</si>
  <si>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</si>
  <si>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</si>
  <si>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Ingen anlægsprojekter</t>
  </si>
  <si>
    <t>Periodevise driftsomkostninger under prisloftsbekendtgørelsen</t>
  </si>
  <si>
    <t>Ingen bortfald eller nedsættelse</t>
  </si>
  <si>
    <t>Spildevandsafgift</t>
  </si>
  <si>
    <t>Afgift til Forsyningsekretariatet</t>
  </si>
  <si>
    <t>Køb af ydelser og produkter fra andre vandselskaber reguleret af vandsektorloven</t>
  </si>
  <si>
    <t>Skatter og afgifter</t>
  </si>
  <si>
    <t>Fane 10: Bortfald eller nedsættelse af omkostninger til mål, medfinansiering eller udvidelse</t>
  </si>
  <si>
    <t>Fane 11: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</si>
</sst>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4" t="s">
        <v>3</v>
      </c>
      <c r="E6" s="84"/>
      <c r="F6" s="84"/>
      <c r="G6" s="84"/>
      <c r="H6" s="3"/>
      <c r="I6" s="1"/>
    </row>
    <row r="7" spans="1:9" ht="15" customHeight="1" x14ac:dyDescent="0.25">
      <c r="A7" s="1"/>
      <c r="B7" s="1"/>
      <c r="C7" s="3"/>
      <c r="D7" s="84"/>
      <c r="E7" s="84"/>
      <c r="F7" s="84"/>
      <c r="G7" s="84"/>
      <c r="H7" s="3"/>
      <c r="I7" s="1"/>
    </row>
    <row r="8" spans="1:9" ht="15.75" x14ac:dyDescent="0.25">
      <c r="A8" s="1"/>
      <c r="B8" s="1"/>
      <c r="C8" s="4"/>
      <c r="D8" s="86" t="s">
        <v>123</v>
      </c>
      <c r="E8" s="86"/>
      <c r="F8" s="86"/>
      <c r="G8" s="8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5" t="s">
        <v>4</v>
      </c>
      <c r="E11" s="85"/>
      <c r="F11" s="85"/>
      <c r="G11" s="8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81" t="s">
        <v>31</v>
      </c>
      <c r="E13" s="82"/>
      <c r="F13" s="82"/>
      <c r="G13" s="83"/>
      <c r="H13" s="1"/>
      <c r="I13" s="1"/>
    </row>
    <row r="14" spans="1:9" x14ac:dyDescent="0.25">
      <c r="A14" s="1"/>
      <c r="B14" s="1"/>
      <c r="C14" s="6" t="s">
        <v>30</v>
      </c>
      <c r="D14" s="81" t="s">
        <v>95</v>
      </c>
      <c r="E14" s="82"/>
      <c r="F14" s="82"/>
      <c r="G14" s="83"/>
      <c r="H14" s="1"/>
      <c r="I14" s="1"/>
    </row>
    <row r="15" spans="1:9" x14ac:dyDescent="0.25">
      <c r="A15" s="1"/>
      <c r="B15" s="1"/>
      <c r="C15" s="6" t="s">
        <v>94</v>
      </c>
      <c r="D15" s="81" t="s">
        <v>97</v>
      </c>
      <c r="E15" s="82"/>
      <c r="F15" s="82"/>
      <c r="G15" s="83"/>
      <c r="H15" s="1"/>
      <c r="I15" s="1"/>
    </row>
    <row r="16" spans="1:9" x14ac:dyDescent="0.25">
      <c r="A16" s="1"/>
      <c r="B16" s="1"/>
      <c r="C16" s="6" t="s">
        <v>96</v>
      </c>
      <c r="D16" s="81" t="s">
        <v>124</v>
      </c>
      <c r="E16" s="82"/>
      <c r="F16" s="82"/>
      <c r="G16" s="83"/>
      <c r="H16" s="1"/>
      <c r="I16" s="1"/>
    </row>
    <row r="17" spans="1:9" x14ac:dyDescent="0.25">
      <c r="A17" s="1"/>
      <c r="B17" s="1"/>
      <c r="C17" s="6" t="s">
        <v>6</v>
      </c>
      <c r="D17" s="87" t="s">
        <v>98</v>
      </c>
      <c r="E17" s="88"/>
      <c r="F17" s="88"/>
      <c r="G17" s="89"/>
      <c r="H17" s="1"/>
      <c r="I17" s="1"/>
    </row>
    <row r="18" spans="1:9" x14ac:dyDescent="0.25">
      <c r="A18" s="1"/>
      <c r="B18" s="1"/>
      <c r="C18" s="6" t="s">
        <v>7</v>
      </c>
      <c r="D18" s="87" t="s">
        <v>99</v>
      </c>
      <c r="E18" s="88"/>
      <c r="F18" s="88"/>
      <c r="G18" s="89"/>
      <c r="H18" s="1"/>
      <c r="I18" s="1"/>
    </row>
    <row r="19" spans="1:9" x14ac:dyDescent="0.25">
      <c r="A19" s="1"/>
      <c r="B19" s="1"/>
      <c r="C19" s="6" t="s">
        <v>8</v>
      </c>
      <c r="D19" s="72" t="s">
        <v>103</v>
      </c>
      <c r="E19" s="73"/>
      <c r="F19" s="73"/>
      <c r="G19" s="74"/>
      <c r="H19" s="1"/>
      <c r="I19" s="1"/>
    </row>
    <row r="20" spans="1:9" x14ac:dyDescent="0.25">
      <c r="A20" s="1"/>
      <c r="B20" s="1"/>
      <c r="C20" s="6" t="s">
        <v>9</v>
      </c>
      <c r="D20" s="75" t="s">
        <v>100</v>
      </c>
      <c r="E20" s="76"/>
      <c r="F20" s="76"/>
      <c r="G20" s="77"/>
      <c r="H20" s="1"/>
      <c r="I20" s="1"/>
    </row>
    <row r="21" spans="1:9" x14ac:dyDescent="0.25">
      <c r="A21" s="1"/>
      <c r="B21" s="1"/>
      <c r="C21" s="6" t="s">
        <v>10</v>
      </c>
      <c r="D21" s="75" t="s">
        <v>122</v>
      </c>
      <c r="E21" s="76"/>
      <c r="F21" s="76"/>
      <c r="G21" s="77"/>
      <c r="H21" s="1"/>
      <c r="I21" s="1"/>
    </row>
    <row r="22" spans="1:9" x14ac:dyDescent="0.25">
      <c r="A22" s="1"/>
      <c r="B22" s="1"/>
      <c r="C22" s="6" t="s">
        <v>11</v>
      </c>
      <c r="D22" s="75" t="s">
        <v>104</v>
      </c>
      <c r="E22" s="76"/>
      <c r="F22" s="76"/>
      <c r="G22" s="77"/>
      <c r="H22" s="1"/>
      <c r="I22" s="1"/>
    </row>
    <row r="23" spans="1:9" x14ac:dyDescent="0.25">
      <c r="A23" s="1"/>
      <c r="B23" s="1"/>
      <c r="C23" s="6" t="s">
        <v>12</v>
      </c>
      <c r="D23" s="78" t="s">
        <v>28</v>
      </c>
      <c r="E23" s="79"/>
      <c r="F23" s="79"/>
      <c r="G23" s="80"/>
      <c r="H23" s="1"/>
      <c r="I23" s="1"/>
    </row>
    <row r="24" spans="1:9" x14ac:dyDescent="0.25">
      <c r="A24" s="1"/>
      <c r="B24" s="1"/>
      <c r="C24" s="6" t="s">
        <v>26</v>
      </c>
      <c r="D24" s="69" t="s">
        <v>101</v>
      </c>
      <c r="E24" s="70"/>
      <c r="F24" s="70"/>
      <c r="G24" s="71"/>
      <c r="H24" s="1"/>
      <c r="I24" s="1"/>
    </row>
    <row r="25" spans="1:9" x14ac:dyDescent="0.25">
      <c r="A25" s="1"/>
      <c r="B25" s="1"/>
      <c r="C25" s="6" t="s">
        <v>29</v>
      </c>
      <c r="D25" s="69" t="s">
        <v>54</v>
      </c>
      <c r="E25" s="70"/>
      <c r="F25" s="70"/>
      <c r="G25" s="7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  <mergeCell ref="D24:G24"/>
    <mergeCell ref="D25:G25"/>
    <mergeCell ref="D19:G19"/>
    <mergeCell ref="D21:G21"/>
    <mergeCell ref="D22:G22"/>
    <mergeCell ref="D23:G2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126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116</v>
      </c>
      <c r="C8" s="93"/>
      <c r="D8" s="93"/>
      <c r="E8" s="93"/>
      <c r="F8" s="93"/>
      <c r="G8" s="93"/>
      <c r="H8" s="94"/>
      <c r="I8" s="1"/>
    </row>
    <row r="9" spans="1:9" x14ac:dyDescent="0.25">
      <c r="A9" s="1"/>
      <c r="B9" s="99" t="s">
        <v>105</v>
      </c>
      <c r="C9" s="100"/>
      <c r="D9" s="101"/>
      <c r="E9" s="11">
        <v>24519380.952349599</v>
      </c>
      <c r="F9" s="22" t="s">
        <v>2</v>
      </c>
      <c r="G9" s="19"/>
      <c r="H9" s="27"/>
      <c r="I9" s="1"/>
    </row>
    <row r="10" spans="1:9" x14ac:dyDescent="0.25">
      <c r="A10" s="1"/>
      <c r="B10" s="99" t="s">
        <v>106</v>
      </c>
      <c r="C10" s="100"/>
      <c r="D10" s="101"/>
      <c r="E10" s="11">
        <v>22011594</v>
      </c>
      <c r="F10" s="22" t="s">
        <v>2</v>
      </c>
      <c r="G10" s="14"/>
      <c r="H10" s="28"/>
      <c r="I10" s="1"/>
    </row>
    <row r="11" spans="1:9" x14ac:dyDescent="0.25">
      <c r="A11" s="1"/>
      <c r="B11" s="99" t="s">
        <v>112</v>
      </c>
      <c r="C11" s="100"/>
      <c r="D11" s="101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107</v>
      </c>
      <c r="C12" s="48"/>
      <c r="D12" s="49"/>
      <c r="E12" s="17">
        <f>E9-(E10-E11)</f>
        <v>2507786.9523495995</v>
      </c>
      <c r="F12" s="25" t="s">
        <v>2</v>
      </c>
      <c r="G12" s="17">
        <f>E12</f>
        <v>2507786.9523495995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2" t="s">
        <v>117</v>
      </c>
      <c r="C17" s="93"/>
      <c r="D17" s="93"/>
      <c r="E17" s="93"/>
      <c r="F17" s="93"/>
      <c r="G17" s="93"/>
      <c r="H17" s="94"/>
      <c r="I17" s="1"/>
    </row>
    <row r="18" spans="1:9" x14ac:dyDescent="0.25">
      <c r="A18" s="1"/>
      <c r="B18" s="102" t="s">
        <v>118</v>
      </c>
      <c r="C18" s="103"/>
      <c r="D18" s="104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102" t="s">
        <v>113</v>
      </c>
      <c r="C19" s="103"/>
      <c r="D19" s="104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102" t="s">
        <v>119</v>
      </c>
      <c r="C20" s="103"/>
      <c r="D20" s="104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92" t="s">
        <v>114</v>
      </c>
      <c r="C21" s="93"/>
      <c r="D21" s="93"/>
      <c r="E21" s="93"/>
      <c r="F21" s="94"/>
      <c r="G21" s="20">
        <f>E20</f>
        <v>0</v>
      </c>
      <c r="H21" s="21" t="s">
        <v>2</v>
      </c>
      <c r="I21" s="1"/>
    </row>
    <row r="22" spans="1:9" x14ac:dyDescent="0.25">
      <c r="A22" s="1"/>
      <c r="B22" s="92" t="s">
        <v>115</v>
      </c>
      <c r="C22" s="93"/>
      <c r="D22" s="93"/>
      <c r="E22" s="93"/>
      <c r="F22" s="94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3:H4"/>
    <mergeCell ref="B8:H8"/>
    <mergeCell ref="B17:H17"/>
    <mergeCell ref="B9:D9"/>
    <mergeCell ref="B10:D10"/>
    <mergeCell ref="B11:D11"/>
    <mergeCell ref="B18:D18"/>
    <mergeCell ref="B19:D19"/>
    <mergeCell ref="B20:D20"/>
    <mergeCell ref="B21:F21"/>
    <mergeCell ref="B22:F22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130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127</v>
      </c>
      <c r="C8" s="93"/>
      <c r="D8" s="93"/>
      <c r="E8" s="93"/>
      <c r="F8" s="93"/>
      <c r="G8" s="93"/>
      <c r="H8" s="94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ht="15" customHeight="1" x14ac:dyDescent="0.25">
      <c r="A10" s="1"/>
      <c r="B10" s="63" t="s">
        <v>133</v>
      </c>
      <c r="C10" s="64"/>
      <c r="D10" s="11"/>
      <c r="E10" s="11"/>
      <c r="F10" s="11"/>
      <c r="G10" s="11"/>
      <c r="H10" s="22" t="s">
        <v>2</v>
      </c>
      <c r="I10" s="1"/>
    </row>
    <row r="11" spans="1:9" x14ac:dyDescent="0.25">
      <c r="A11" s="1"/>
      <c r="B11" s="92" t="s">
        <v>131</v>
      </c>
      <c r="C11" s="93"/>
      <c r="D11" s="94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2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8:H8"/>
    <mergeCell ref="B11:D11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121</v>
      </c>
      <c r="C3" s="90"/>
      <c r="D3" s="90"/>
      <c r="E3" s="90"/>
      <c r="F3" s="90"/>
      <c r="G3" s="90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127</v>
      </c>
      <c r="C10" s="59"/>
      <c r="D10" s="60">
        <f>'Fane 8. Anlægsprojekter'!F11</f>
        <v>0</v>
      </c>
      <c r="E10" s="22" t="s">
        <v>2</v>
      </c>
      <c r="F10" s="11">
        <f>SUM('Fane 8. Anlægsprojekter'!E11,'Fane 8. Anlægsprojekter'!G11)</f>
        <v>0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5" t="s">
        <v>140</v>
      </c>
      <c r="C3" s="95"/>
      <c r="D3" s="95"/>
      <c r="E3" s="95"/>
      <c r="F3" s="95"/>
      <c r="G3" s="95"/>
      <c r="H3" s="1"/>
    </row>
    <row r="4" spans="1:8" ht="25.5" customHeight="1" x14ac:dyDescent="0.25">
      <c r="A4" s="1"/>
      <c r="B4" s="95"/>
      <c r="C4" s="95"/>
      <c r="D4" s="95"/>
      <c r="E4" s="95"/>
      <c r="F4" s="95"/>
      <c r="G4" s="95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135</v>
      </c>
      <c r="C10" s="65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5" t="s">
        <v>141</v>
      </c>
      <c r="C3" s="95"/>
      <c r="D3" s="95"/>
      <c r="E3" s="95"/>
      <c r="F3" s="95"/>
      <c r="G3" s="1"/>
      <c r="H3" s="1"/>
    </row>
    <row r="4" spans="1:8" ht="25.5" customHeight="1" x14ac:dyDescent="0.25">
      <c r="A4" s="1"/>
      <c r="B4" s="95"/>
      <c r="C4" s="95"/>
      <c r="D4" s="95"/>
      <c r="E4" s="95"/>
      <c r="F4" s="95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1.1729826545626805E-2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2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90" t="s">
        <v>41</v>
      </c>
      <c r="C3" s="90"/>
      <c r="D3" s="90"/>
      <c r="E3" s="90"/>
      <c r="F3" s="90"/>
      <c r="G3" s="1"/>
      <c r="I3" s="36"/>
    </row>
    <row r="4" spans="1:9" ht="15" customHeight="1" x14ac:dyDescent="0.25">
      <c r="A4" s="1"/>
      <c r="B4" s="90"/>
      <c r="C4" s="90"/>
      <c r="D4" s="90"/>
      <c r="E4" s="90"/>
      <c r="F4" s="90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21510229.914727479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Tillæg'!F12</f>
        <v>0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6" t="s">
        <v>37</v>
      </c>
      <c r="C14" s="11">
        <f>C9*Prisudvikling2018+SUM(C10:C13)*Prisudvikling2019</f>
        <v>376429.02350773092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-256726.71300879153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6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-256641.34001095794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62</v>
      </c>
      <c r="C17" s="11">
        <f>-(('Fane 5. Generelt eff. krav'!G12-'Fane 5. Generelt eff. krav'!G11)*(1+Prisudvikling2018)*GenereltKravAnlæg2018+SUM(C11,C13)*(1+Prisudvikling2019)*GenereltKravAnlæg2019)</f>
        <v>-173308.93150017248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7" t="s">
        <v>40</v>
      </c>
      <c r="C18" s="17">
        <f>SUM(C9:C17)</f>
        <v>21199981.953715283</v>
      </c>
      <c r="D18" s="18" t="s">
        <v>2</v>
      </c>
      <c r="E18" s="17">
        <f>C18</f>
        <v>21199981.953715283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134</v>
      </c>
      <c r="C20" s="11">
        <v>1453053.0850000002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-(C20*(GenereltKravDrift2018+IndividueltKrav))</f>
        <v>-46105.122348637924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1406947.9626513622</v>
      </c>
      <c r="D22" s="18" t="s">
        <v>2</v>
      </c>
      <c r="E22" s="17">
        <f>C22</f>
        <v>1406947.9626513622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22</v>
      </c>
      <c r="C24" s="11">
        <f>'Fane 4. Ikke-påvirkelige omk.'!E15</f>
        <v>2240125.1797444597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29" t="s">
        <v>80</v>
      </c>
      <c r="C26" s="17">
        <f>SUM(C24:C25)</f>
        <v>2240125.1797444597</v>
      </c>
      <c r="D26" s="18" t="s">
        <v>2</v>
      </c>
      <c r="E26" s="17">
        <f>C26</f>
        <v>2240125.1797444597</v>
      </c>
      <c r="F26" s="18" t="s">
        <v>2</v>
      </c>
      <c r="G26" s="1"/>
    </row>
    <row r="27" spans="1:7" ht="15" customHeight="1" x14ac:dyDescent="0.25">
      <c r="A27" s="1"/>
      <c r="B27" s="39" t="s">
        <v>50</v>
      </c>
      <c r="C27" s="40"/>
      <c r="D27" s="40"/>
      <c r="E27" s="40"/>
      <c r="F27" s="41"/>
      <c r="G27" s="1"/>
    </row>
    <row r="28" spans="1:7" ht="15" customHeight="1" x14ac:dyDescent="0.25">
      <c r="A28" s="1"/>
      <c r="B28" s="45" t="s">
        <v>81</v>
      </c>
      <c r="C28" s="7">
        <v>-2280842.3006382096</v>
      </c>
      <c r="D28" s="8" t="s">
        <v>2</v>
      </c>
      <c r="E28" s="33"/>
      <c r="F28" s="13"/>
      <c r="G28" s="1"/>
    </row>
    <row r="29" spans="1:7" ht="15" customHeight="1" x14ac:dyDescent="0.25">
      <c r="A29" s="1"/>
      <c r="B29" s="45" t="s">
        <v>51</v>
      </c>
      <c r="C29" s="7">
        <v>0</v>
      </c>
      <c r="D29" s="8" t="s">
        <v>2</v>
      </c>
      <c r="E29" s="32"/>
      <c r="F29" s="13"/>
      <c r="G29" s="1"/>
    </row>
    <row r="30" spans="1:7" ht="28.5" customHeight="1" x14ac:dyDescent="0.25">
      <c r="A30" s="1"/>
      <c r="B30" s="46" t="s">
        <v>52</v>
      </c>
      <c r="C30" s="7">
        <v>11601.855173650945</v>
      </c>
      <c r="D30" s="8" t="s">
        <v>2</v>
      </c>
      <c r="E30" s="32"/>
      <c r="F30" s="13"/>
      <c r="G30" s="1"/>
    </row>
    <row r="31" spans="1:7" ht="15" customHeight="1" x14ac:dyDescent="0.25">
      <c r="A31" s="1"/>
      <c r="B31" s="47" t="s">
        <v>53</v>
      </c>
      <c r="C31" s="17">
        <f>SUM(C28:C30)</f>
        <v>-2269240.4454645584</v>
      </c>
      <c r="D31" s="18" t="s">
        <v>2</v>
      </c>
      <c r="E31" s="17">
        <f>C31</f>
        <v>-2269240.4454645584</v>
      </c>
      <c r="F31" s="18" t="s">
        <v>2</v>
      </c>
      <c r="G31" s="1"/>
    </row>
    <row r="32" spans="1:7" x14ac:dyDescent="0.25">
      <c r="A32" s="1"/>
      <c r="B32" s="39" t="s">
        <v>15</v>
      </c>
      <c r="C32" s="40"/>
      <c r="D32" s="40"/>
      <c r="E32" s="40"/>
      <c r="F32" s="41"/>
      <c r="G32" s="1"/>
    </row>
    <row r="33" spans="1:7" ht="15" customHeight="1" x14ac:dyDescent="0.25">
      <c r="A33" s="1"/>
      <c r="B33" s="47" t="s">
        <v>24</v>
      </c>
      <c r="C33" s="17">
        <f>'Fane 6. Hist. over el. underdæk'!G13</f>
        <v>0</v>
      </c>
      <c r="D33" s="18" t="s">
        <v>2</v>
      </c>
      <c r="E33" s="17">
        <f>C33</f>
        <v>0</v>
      </c>
      <c r="F33" s="18" t="s">
        <v>2</v>
      </c>
      <c r="G33" s="1"/>
    </row>
    <row r="34" spans="1:7" x14ac:dyDescent="0.25">
      <c r="A34" s="1"/>
      <c r="B34" s="39" t="s">
        <v>33</v>
      </c>
      <c r="C34" s="40"/>
      <c r="D34" s="41"/>
      <c r="E34" s="20">
        <f>SUM(E18,E22,E26,E31,E33)</f>
        <v>22577814.650646545</v>
      </c>
      <c r="F34" s="21" t="s">
        <v>2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43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25</v>
      </c>
      <c r="C8" s="93"/>
      <c r="D8" s="93"/>
      <c r="E8" s="93"/>
      <c r="F8" s="94"/>
      <c r="G8" s="1"/>
    </row>
    <row r="9" spans="1:7" ht="15" customHeight="1" x14ac:dyDescent="0.25">
      <c r="A9" s="1"/>
      <c r="B9" s="45" t="s">
        <v>55</v>
      </c>
      <c r="C9" s="7">
        <f>'Fane 2.1. Økonomisk ramme 2019'!E18</f>
        <v>21199981.953715283</v>
      </c>
      <c r="D9" s="8" t="s">
        <v>2</v>
      </c>
      <c r="E9" s="9"/>
      <c r="F9" s="10"/>
      <c r="G9" s="1"/>
    </row>
    <row r="10" spans="1:7" x14ac:dyDescent="0.25">
      <c r="A10" s="1"/>
      <c r="B10" s="46" t="s">
        <v>37</v>
      </c>
      <c r="C10" s="11">
        <f>SUM(C9:C9)*Prisudvikling2019</f>
        <v>358279.69501778827</v>
      </c>
      <c r="D10" s="8" t="s">
        <v>2</v>
      </c>
      <c r="E10" s="12"/>
      <c r="F10" s="13"/>
      <c r="G10" s="1"/>
    </row>
    <row r="11" spans="1:7" x14ac:dyDescent="0.25">
      <c r="A11" s="1"/>
      <c r="B11" s="46" t="s">
        <v>13</v>
      </c>
      <c r="C11" s="11">
        <f>-SUM(C9:C10)*IndividueltKrav</f>
        <v>-252874.66976487747</v>
      </c>
      <c r="D11" s="8" t="s">
        <v>2</v>
      </c>
      <c r="E11" s="12"/>
      <c r="F11" s="13"/>
      <c r="G11" s="1"/>
    </row>
    <row r="12" spans="1:7" x14ac:dyDescent="0.25">
      <c r="A12" s="1"/>
      <c r="B12" s="46" t="s">
        <v>61</v>
      </c>
      <c r="C12" s="11">
        <f>('Fane 2.1. Økonomisk ramme 2019'!C16/GenereltKravDrift2018-'Fane 2.1. Økonomisk ramme 2019'!C16)*(1+Prisudvikling2019)*GenereltKravDrift2019</f>
        <v>-255759.00708400027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6" t="s">
        <v>62</v>
      </c>
      <c r="C13" s="11">
        <f>(('Fane 2.1. Økonomisk ramme 2019'!C17/GenereltKravAnlæg2018-'Fane 2.1. Økonomisk ramme 2019'!C17)*(1+Prisudvikling2019)*GenereltKravAnlæg2019)</f>
        <v>-85092.115782618421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7" t="s">
        <v>40</v>
      </c>
      <c r="C14" s="17">
        <f>SUM(C9:C13)</f>
        <v>20964535.856101576</v>
      </c>
      <c r="D14" s="18" t="s">
        <v>2</v>
      </c>
      <c r="E14" s="17">
        <f>C14</f>
        <v>20964535.856101576</v>
      </c>
      <c r="F14" s="18" t="s">
        <v>2</v>
      </c>
      <c r="G14" s="1"/>
    </row>
    <row r="15" spans="1:7" ht="15" customHeight="1" x14ac:dyDescent="0.25">
      <c r="A15" s="1"/>
      <c r="B15" s="92" t="s">
        <v>74</v>
      </c>
      <c r="C15" s="93"/>
      <c r="D15" s="93"/>
      <c r="E15" s="93"/>
      <c r="F15" s="94"/>
      <c r="G15" s="1"/>
    </row>
    <row r="16" spans="1:7" ht="15" customHeight="1" x14ac:dyDescent="0.25">
      <c r="A16" s="1"/>
      <c r="B16" s="46" t="s">
        <v>134</v>
      </c>
      <c r="C16" s="11">
        <v>728772.86773310986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-23123.836684330599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705649.03104877926</v>
      </c>
      <c r="D18" s="18" t="s">
        <v>2</v>
      </c>
      <c r="E18" s="17">
        <f>C18</f>
        <v>705649.03104877926</v>
      </c>
      <c r="F18" s="18" t="s">
        <v>2</v>
      </c>
      <c r="G18" s="1"/>
    </row>
    <row r="19" spans="1:7" x14ac:dyDescent="0.25">
      <c r="A19" s="1"/>
      <c r="B19" s="92" t="s">
        <v>22</v>
      </c>
      <c r="C19" s="93"/>
      <c r="D19" s="93"/>
      <c r="E19" s="93"/>
      <c r="F19" s="94"/>
      <c r="G19" s="1"/>
    </row>
    <row r="20" spans="1:7" ht="15" customHeight="1" x14ac:dyDescent="0.25">
      <c r="A20" s="1"/>
      <c r="B20" s="46" t="s">
        <v>22</v>
      </c>
      <c r="C20" s="11">
        <f>'Fane 4. Ikke-påvirkelige omk.'!E15*(1+Prisudvikling2019)</f>
        <v>2277983.2952821408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2277983.2952821408</v>
      </c>
      <c r="D22" s="18" t="s">
        <v>2</v>
      </c>
      <c r="E22" s="17">
        <f>C22</f>
        <v>2277983.2952821408</v>
      </c>
      <c r="F22" s="18" t="s">
        <v>2</v>
      </c>
      <c r="G22" s="1"/>
    </row>
    <row r="23" spans="1:7" x14ac:dyDescent="0.25">
      <c r="A23" s="1"/>
      <c r="B23" s="92" t="s">
        <v>15</v>
      </c>
      <c r="C23" s="93"/>
      <c r="D23" s="93"/>
      <c r="E23" s="93"/>
      <c r="F23" s="94"/>
      <c r="G23" s="1"/>
    </row>
    <row r="24" spans="1:7" ht="15" customHeight="1" x14ac:dyDescent="0.25">
      <c r="A24" s="1"/>
      <c r="B24" s="29" t="s">
        <v>24</v>
      </c>
      <c r="C24" s="17">
        <f>IF('Fane 6. Hist. over el. underdæk'!G12&gt;1,'Fane 6. Hist. over el. underdæk'!G13,0)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92" t="s">
        <v>116</v>
      </c>
      <c r="C25" s="93"/>
      <c r="D25" s="93"/>
      <c r="E25" s="93"/>
      <c r="F25" s="94"/>
      <c r="G25" s="1"/>
    </row>
    <row r="26" spans="1:7" ht="15" customHeight="1" x14ac:dyDescent="0.25">
      <c r="A26" s="1"/>
      <c r="B26" s="29" t="s">
        <v>108</v>
      </c>
      <c r="C26" s="17">
        <f>'Fane 7. Kontrol af ØR2017'!G22</f>
        <v>0</v>
      </c>
      <c r="D26" s="18" t="s">
        <v>2</v>
      </c>
      <c r="E26" s="17">
        <f>C26</f>
        <v>0</v>
      </c>
      <c r="F26" s="18" t="s">
        <v>2</v>
      </c>
      <c r="G26" s="1"/>
    </row>
    <row r="27" spans="1:7" x14ac:dyDescent="0.25">
      <c r="A27" s="1"/>
      <c r="B27" s="39" t="s">
        <v>56</v>
      </c>
      <c r="C27" s="40"/>
      <c r="D27" s="41"/>
      <c r="E27" s="20">
        <f>SUM(E14,E18,E22,E24,E26)</f>
        <v>23948168.182432495</v>
      </c>
      <c r="F27" s="21" t="s">
        <v>2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7">
    <mergeCell ref="B3:F4"/>
    <mergeCell ref="B5:F5"/>
    <mergeCell ref="B25:F25"/>
    <mergeCell ref="B23:F23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91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43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5" t="s">
        <v>57</v>
      </c>
      <c r="C9" s="7">
        <f>'Fane 2.2. Økonomisk ramme 2020'!E14</f>
        <v>20964535.856101576</v>
      </c>
      <c r="D9" s="8" t="s">
        <v>2</v>
      </c>
      <c r="E9" s="9"/>
      <c r="F9" s="10"/>
      <c r="G9" s="1"/>
    </row>
    <row r="10" spans="1:7" x14ac:dyDescent="0.25">
      <c r="A10" s="1"/>
      <c r="B10" s="46" t="s">
        <v>37</v>
      </c>
      <c r="C10" s="11">
        <f>C9*Prisudvikling2019</f>
        <v>354300.6559681166</v>
      </c>
      <c r="D10" s="8" t="s">
        <v>2</v>
      </c>
      <c r="E10" s="12"/>
      <c r="F10" s="13"/>
      <c r="G10" s="1"/>
    </row>
    <row r="11" spans="1:7" x14ac:dyDescent="0.25">
      <c r="A11" s="1"/>
      <c r="B11" s="46" t="s">
        <v>13</v>
      </c>
      <c r="C11" s="11">
        <f>-SUM(C9:C10)*IndividueltKrav</f>
        <v>-250066.25444115305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(('Fane 2.2. Økonomisk ramme 2020'!C12/GenereltKravDrift2019-'Fane 2.2. Økonomisk ramme 2020'!C12)*(1+Prisudvikling2019)*GenereltKravDrift2019)</f>
        <v>-254879.70761764544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6" t="s">
        <v>62</v>
      </c>
      <c r="C13" s="11">
        <f>(('Fane 2.2. Økonomisk ramme 2020'!C13/GenereltKravAnlæg2019-'Fane 2.2. Økonomisk ramme 2020'!C13)*(1+Prisudvikling2019)*GenereltKravAnlæg2019)</f>
        <v>-85777.360038252358</v>
      </c>
      <c r="D13" s="8" t="s">
        <v>2</v>
      </c>
      <c r="E13" s="15"/>
      <c r="F13" s="16"/>
      <c r="G13" s="1"/>
    </row>
    <row r="14" spans="1:7" x14ac:dyDescent="0.25">
      <c r="A14" s="1"/>
      <c r="B14" s="47" t="s">
        <v>40</v>
      </c>
      <c r="C14" s="17">
        <f>SUM(C9:C13)</f>
        <v>20728113.189972647</v>
      </c>
      <c r="D14" s="18" t="s">
        <v>2</v>
      </c>
      <c r="E14" s="17">
        <f>C14</f>
        <v>20728113.189972647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6" t="s">
        <v>134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22</v>
      </c>
      <c r="C20" s="11">
        <f>'Fane 4. Ikke-påvirkelige omk.'!E15*(1+Prisudvikling2019)^2</f>
        <v>2316481.2129724086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2316481.2129724086</v>
      </c>
      <c r="D22" s="18" t="s">
        <v>2</v>
      </c>
      <c r="E22" s="17">
        <f>C22</f>
        <v>2316481.2129724086</v>
      </c>
      <c r="F22" s="18" t="s">
        <v>2</v>
      </c>
      <c r="G22" s="1"/>
    </row>
    <row r="23" spans="1:7" ht="15" customHeight="1" x14ac:dyDescent="0.25">
      <c r="A23" s="1"/>
      <c r="B23" s="39" t="s">
        <v>116</v>
      </c>
      <c r="C23" s="40"/>
      <c r="D23" s="40"/>
      <c r="E23" s="40"/>
      <c r="F23" s="41"/>
      <c r="G23" s="1"/>
    </row>
    <row r="24" spans="1:7" ht="15" customHeight="1" x14ac:dyDescent="0.25">
      <c r="A24" s="1"/>
      <c r="B24" s="29" t="s">
        <v>108</v>
      </c>
      <c r="C24" s="17">
        <f>'Fane 2.2. Økonomisk ramme 2020'!C26*(1+Prisudvikling2019)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39" t="s">
        <v>68</v>
      </c>
      <c r="C25" s="40"/>
      <c r="D25" s="41"/>
      <c r="E25" s="20">
        <f>SUM(E14,E18,E22,E24)</f>
        <v>23044594.402945057</v>
      </c>
      <c r="F25" s="21" t="s">
        <v>2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43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x14ac:dyDescent="0.25">
      <c r="A8" s="1"/>
      <c r="B8" s="45" t="s">
        <v>58</v>
      </c>
      <c r="C8" s="7">
        <f>'Fane 2.3. Økonomisk ramme 2021'!E14</f>
        <v>20728113.189972647</v>
      </c>
      <c r="D8" s="8" t="s">
        <v>2</v>
      </c>
      <c r="E8" s="9"/>
      <c r="F8" s="10"/>
      <c r="G8" s="1"/>
    </row>
    <row r="9" spans="1:7" x14ac:dyDescent="0.25">
      <c r="A9" s="1"/>
      <c r="B9" s="46" t="s">
        <v>37</v>
      </c>
      <c r="C9" s="11">
        <f>C8*Prisudvikling2019</f>
        <v>350305.11291053769</v>
      </c>
      <c r="D9" s="8" t="s">
        <v>2</v>
      </c>
      <c r="E9" s="12"/>
      <c r="F9" s="13"/>
      <c r="G9" s="1"/>
    </row>
    <row r="10" spans="1:7" x14ac:dyDescent="0.25">
      <c r="A10" s="1"/>
      <c r="B10" s="46" t="s">
        <v>13</v>
      </c>
      <c r="C10" s="11">
        <f>-SUM(C8:C9)*IndividueltKrav</f>
        <v>-247246.19054898509</v>
      </c>
      <c r="D10" s="8" t="s">
        <v>2</v>
      </c>
      <c r="E10" s="12"/>
      <c r="F10" s="13"/>
      <c r="G10" s="1"/>
    </row>
    <row r="11" spans="1:7" x14ac:dyDescent="0.25">
      <c r="A11" s="1"/>
      <c r="B11" s="46" t="s">
        <v>61</v>
      </c>
      <c r="C11" s="11">
        <f>('Fane 2.3. Økonomisk ramme 2021'!C12/GenereltKravDrift2019-'Fane 2.3. Økonomisk ramme 2021'!C12)*(1+Prisudvikling2019)*GenereltKravDrift2019</f>
        <v>-254003.43118285597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2021'!C13/GenereltKravAnlæg2019-'Fane 2.3. Økonomisk ramme 2021'!C13)*(1+Prisudvikling2019)*GenereltKravAnlæg2019</f>
        <v>-86468.122545319595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20490700.558606021</v>
      </c>
      <c r="D13" s="18" t="s">
        <v>2</v>
      </c>
      <c r="E13" s="17">
        <f>C13</f>
        <v>20490700.558606021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6" t="s">
        <v>134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omk.'!E15*(1+Prisudvikling2019)^3</f>
        <v>2355629.7454716419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29" t="s">
        <v>80</v>
      </c>
      <c r="C21" s="17">
        <f>SUM(C19:C20)</f>
        <v>2355629.7454716419</v>
      </c>
      <c r="D21" s="18" t="s">
        <v>2</v>
      </c>
      <c r="E21" s="17">
        <f>C21</f>
        <v>2355629.7454716419</v>
      </c>
      <c r="F21" s="18" t="s">
        <v>2</v>
      </c>
      <c r="G21" s="1"/>
    </row>
    <row r="22" spans="1:7" x14ac:dyDescent="0.25">
      <c r="A22" s="1"/>
      <c r="B22" s="39" t="s">
        <v>78</v>
      </c>
      <c r="C22" s="40"/>
      <c r="D22" s="41"/>
      <c r="E22" s="20">
        <f>SUM(E13,E17,E21)</f>
        <v>22846330.304077663</v>
      </c>
      <c r="F22" s="21" t="s">
        <v>2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5" t="s">
        <v>93</v>
      </c>
      <c r="C3" s="95"/>
      <c r="D3" s="95"/>
      <c r="E3" s="95"/>
      <c r="F3" s="95"/>
      <c r="G3" s="95"/>
      <c r="H3" s="95"/>
      <c r="I3" s="1"/>
    </row>
    <row r="4" spans="1:9" ht="29.2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26021724.715264782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2322941.6651625116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2188553.1353747938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2399063.5350000001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21510229.914727479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102</v>
      </c>
      <c r="C3" s="90"/>
      <c r="D3" s="90"/>
      <c r="E3" s="90"/>
      <c r="F3" s="90"/>
      <c r="G3" s="1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111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66" t="s">
        <v>136</v>
      </c>
      <c r="C10" s="67"/>
      <c r="D10" s="68"/>
      <c r="E10" s="11">
        <v>1846923</v>
      </c>
      <c r="F10" s="22" t="s">
        <v>2</v>
      </c>
      <c r="G10" s="1"/>
      <c r="H10" s="1"/>
    </row>
    <row r="11" spans="1:8" x14ac:dyDescent="0.25">
      <c r="A11" s="1"/>
      <c r="B11" s="66" t="s">
        <v>137</v>
      </c>
      <c r="C11" s="67"/>
      <c r="D11" s="68"/>
      <c r="E11" s="11">
        <v>49046</v>
      </c>
      <c r="F11" s="22" t="s">
        <v>2</v>
      </c>
      <c r="G11" s="1"/>
      <c r="H11" s="1"/>
    </row>
    <row r="12" spans="1:8" ht="27.75" customHeight="1" x14ac:dyDescent="0.25">
      <c r="A12" s="1"/>
      <c r="B12" s="96" t="s">
        <v>138</v>
      </c>
      <c r="C12" s="97"/>
      <c r="D12" s="98"/>
      <c r="E12" s="11">
        <v>176726</v>
      </c>
      <c r="F12" s="22" t="s">
        <v>2</v>
      </c>
      <c r="G12" s="1"/>
      <c r="H12" s="1"/>
    </row>
    <row r="13" spans="1:8" x14ac:dyDescent="0.25">
      <c r="A13" s="1"/>
      <c r="B13" s="66" t="s">
        <v>139</v>
      </c>
      <c r="C13" s="67"/>
      <c r="D13" s="68"/>
      <c r="E13" s="11">
        <v>93591</v>
      </c>
      <c r="F13" s="22" t="s">
        <v>2</v>
      </c>
      <c r="G13" s="1"/>
      <c r="H13" s="1"/>
    </row>
    <row r="14" spans="1:8" x14ac:dyDescent="0.25">
      <c r="A14" s="1"/>
      <c r="B14" s="92" t="s">
        <v>128</v>
      </c>
      <c r="C14" s="93"/>
      <c r="D14" s="94"/>
      <c r="E14" s="20">
        <f>SUM(E10:E13)</f>
        <v>2166286</v>
      </c>
      <c r="F14" s="21" t="s">
        <v>2</v>
      </c>
      <c r="G14" s="1"/>
      <c r="H14" s="1"/>
    </row>
    <row r="15" spans="1:8" x14ac:dyDescent="0.25">
      <c r="A15" s="1"/>
      <c r="B15" s="92" t="s">
        <v>129</v>
      </c>
      <c r="C15" s="93"/>
      <c r="D15" s="94"/>
      <c r="E15" s="20">
        <f>E14*(1+Prisudvikling2019)^2</f>
        <v>2240125.1797444597</v>
      </c>
      <c r="F15" s="21" t="s">
        <v>2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4">
    <mergeCell ref="B3:F4"/>
    <mergeCell ref="B14:D14"/>
    <mergeCell ref="B15:D15"/>
    <mergeCell ref="B12:D12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120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82</v>
      </c>
      <c r="C9" s="43"/>
      <c r="D9" s="43"/>
      <c r="E9" s="43"/>
      <c r="F9" s="44"/>
      <c r="G9" s="56">
        <v>306335.33866339864</v>
      </c>
      <c r="H9" s="22" t="s">
        <v>2</v>
      </c>
      <c r="I9" s="1"/>
    </row>
    <row r="10" spans="1:9" x14ac:dyDescent="0.25">
      <c r="A10" s="1"/>
      <c r="B10" s="42" t="s">
        <v>83</v>
      </c>
      <c r="C10" s="43"/>
      <c r="D10" s="43"/>
      <c r="E10" s="43"/>
      <c r="F10" s="44"/>
      <c r="G10" s="56">
        <f>G9/GenereltKravDrift2018</f>
        <v>15316766.933169931</v>
      </c>
      <c r="H10" s="22" t="s">
        <v>2</v>
      </c>
      <c r="I10" s="1"/>
    </row>
    <row r="11" spans="1:9" x14ac:dyDescent="0.25">
      <c r="A11" s="1"/>
      <c r="B11" s="42" t="s">
        <v>84</v>
      </c>
      <c r="C11" s="43"/>
      <c r="D11" s="43"/>
      <c r="E11" s="43"/>
      <c r="F11" s="44"/>
      <c r="G11" s="56">
        <v>173397.3207844423</v>
      </c>
      <c r="H11" s="22" t="s">
        <v>2</v>
      </c>
      <c r="I11" s="1"/>
    </row>
    <row r="12" spans="1:9" x14ac:dyDescent="0.25">
      <c r="A12" s="1"/>
      <c r="B12" s="42" t="s">
        <v>85</v>
      </c>
      <c r="C12" s="43"/>
      <c r="D12" s="43"/>
      <c r="E12" s="43"/>
      <c r="F12" s="44"/>
      <c r="G12" s="56">
        <f>G11/GenereltKravAnlæg2018</f>
        <v>9796458.8013809212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9" t="s">
        <v>87</v>
      </c>
      <c r="C17" s="100"/>
      <c r="D17" s="100"/>
      <c r="E17" s="100"/>
      <c r="F17" s="101"/>
      <c r="G17" s="57">
        <v>0.02</v>
      </c>
      <c r="H17" s="22"/>
      <c r="I17" s="1"/>
    </row>
    <row r="18" spans="1:9" x14ac:dyDescent="0.25">
      <c r="A18" s="1"/>
      <c r="B18" s="99" t="s">
        <v>86</v>
      </c>
      <c r="C18" s="100"/>
      <c r="D18" s="100"/>
      <c r="E18" s="100"/>
      <c r="F18" s="101"/>
      <c r="G18" s="57">
        <v>0.02</v>
      </c>
      <c r="H18" s="22"/>
      <c r="I18" s="1"/>
    </row>
    <row r="19" spans="1:9" x14ac:dyDescent="0.25">
      <c r="A19" s="1"/>
      <c r="B19" s="99" t="s">
        <v>88</v>
      </c>
      <c r="C19" s="100"/>
      <c r="D19" s="100"/>
      <c r="E19" s="100"/>
      <c r="F19" s="101"/>
      <c r="G19" s="57">
        <v>1.77E-2</v>
      </c>
      <c r="H19" s="22"/>
      <c r="I19" s="1"/>
    </row>
    <row r="20" spans="1:9" x14ac:dyDescent="0.25">
      <c r="A20" s="1"/>
      <c r="B20" s="99" t="s">
        <v>132</v>
      </c>
      <c r="C20" s="100"/>
      <c r="D20" s="100"/>
      <c r="E20" s="100"/>
      <c r="F20" s="101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125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-604034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-604034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0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0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0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2018-09-05T08:30:55Z</dcterms:modified>
</cp:coreProperties>
</file>