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 activeTab="1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E28" i="2" l="1"/>
  <c r="G12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<sst xmlns="http://schemas.openxmlformats.org/spreadsheetml/2006/main" count="357" uniqueCount="157">
  <si>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</si>
  <si>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</si>
  <si>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</si>
  <si>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</si>
  <si>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</si>
  <si>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</si>
  <si>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</si>
  <si>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</si>
  <si>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</si>
  <si>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</si>
  <si>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</si>
  <si>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</si>
  <si>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</si>
  <si>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</si>
  <si>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</si>
  <si>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</si>
  <si>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</si>
  <si>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</si>
  <si>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</si>
  <si>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</si>
  <si>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</si>
  <si>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</si>
  <si>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</si>
  <si>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</si>
  <si>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</si>
  <si>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</si>
  <si>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</si>
  <si>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</si>
  <si>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</si>
  <si>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</si>
  <si>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</si>
  <si>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</si>
  <si>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</si>
  <si>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</si>
  <si>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</si>
  <si>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</si>
  <si>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</si>
  <si>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</si>
  <si>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</si>
  <si>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</si>
  <si>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</si>
  <si>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</si>
  <si>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</si>
  <si>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</si>
  <si>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</si>
  <si>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</si>
  <si>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</si>
  <si>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</si>
  <si>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</si>
  <si>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</si>
  <si>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</si>
  <si>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</si>
  <si>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</si>
  <si>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</si>
  <si>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</si>
  <si>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</si>
  <si>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</si>
  <si>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</si>
  <si>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</si>
  <si>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</si>
  <si>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</si>
  <si>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</si>
  <si>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</si>
  <si>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</si>
  <si>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</si>
  <si>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</si>
  <si>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</si>
  <si>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</si>
  <si>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</si>
  <si>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</si>
  <si>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</si>
  <si>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</si>
  <si>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</si>
  <si>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</si>
  <si>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</si>
  <si>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</si>
  <si>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</si>
  <si>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</si>
  <si>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</si>
  <si>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</si>
  <si>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</si>
  <si>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</si>
  <si>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</si>
  <si>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</si>
  <si>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</si>
  <si>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</si>
  <si>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</si>
  <si>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</si>
  <si>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</si>
  <si>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</si>
  <si>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</si>
  <si>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</si>
  <si>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</si>
  <si>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</si>
  <si>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</si>
  <si>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</si>
  <si>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</si>
  <si>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</si>
  <si>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</si>
  <si>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</si>
  <si>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</si>
  <si>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</si>
  <si>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</si>
  <si>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</si>
  <si>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</si>
  <si>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</si>
  <si>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</si>
  <si>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</si>
  <si>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</si>
  <si>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</si>
  <si>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</si>
  <si>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</si>
  <si>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</si>
  <si>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</si>
  <si>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</si>
  <si>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</si>
  <si>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</si>
  <si>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</si>
  <si>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</si>
  <si>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</si>
  <si>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</si>
  <si>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</si>
  <si>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</si>
  <si>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</si>
  <si>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</si>
  <si>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</si>
  <si>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</si>
  <si>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</si>
  <si>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</si>
  <si>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</si>
  <si>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</si>
  <si>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</si>
  <si>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</si>
  <si>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</si>
  <si>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</si>
  <si>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</si>
  <si>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</si>
  <si>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</si>
  <si>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</si>
  <si>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</si>
  <si>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</si>
  <si>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</si>
  <si>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</si>
  <si>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</si>
  <si>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</si>
  <si>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</si>
  <si>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</si>
  <si>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</si>
  <si>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</si>
  <si>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</si>
  <si>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</si>
  <si>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</si>
  <si>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Opgjort over- eller underdækning per. 31. december 2015</t>
  </si>
  <si>
    <t>Resterende indregningsperiode (fastsat i prisloftet for 2017)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</si>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</sst>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100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30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29</v>
      </c>
      <c r="D14" s="69" t="s">
        <v>93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91</v>
      </c>
      <c r="D15" s="69" t="s">
        <v>94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92</v>
      </c>
      <c r="D16" s="69" t="s">
        <v>129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95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97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96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126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98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127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101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23</v>
      </c>
      <c r="D24" s="66" t="s">
        <v>26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27</v>
      </c>
      <c r="D25" s="63" t="s">
        <v>99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28</v>
      </c>
      <c r="D26" s="63" t="s">
        <v>62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152</v>
      </c>
      <c r="C9" s="46"/>
      <c r="D9" s="46"/>
      <c r="E9" s="46"/>
      <c r="F9" s="47"/>
      <c r="G9" s="11">
        <v>0</v>
      </c>
      <c r="H9" s="22" t="s">
        <v>3</v>
      </c>
      <c r="I9" s="1"/>
    </row>
    <row r="10" spans="1:9" x14ac:dyDescent="0.25">
      <c r="A10" s="1"/>
      <c r="B10" s="51" t="s">
        <v>17</v>
      </c>
      <c r="C10" s="52"/>
      <c r="D10" s="52"/>
      <c r="E10" s="52"/>
      <c r="F10" s="53"/>
      <c r="G10" s="31">
        <v>0</v>
      </c>
      <c r="H10" s="26" t="s">
        <v>3</v>
      </c>
      <c r="I10" s="1"/>
    </row>
    <row r="11" spans="1:9" x14ac:dyDescent="0.25">
      <c r="A11" s="1"/>
      <c r="B11" s="45" t="s">
        <v>153</v>
      </c>
      <c r="C11" s="46"/>
      <c r="D11" s="46"/>
      <c r="E11" s="46"/>
      <c r="F11" s="47"/>
      <c r="G11" s="11">
        <v>0</v>
      </c>
      <c r="H11" s="22" t="s">
        <v>40</v>
      </c>
      <c r="I11" s="1"/>
    </row>
    <row r="12" spans="1:9" x14ac:dyDescent="0.25">
      <c r="A12" s="1"/>
      <c r="B12" s="38" t="s">
        <v>16</v>
      </c>
      <c r="C12" s="39"/>
      <c r="D12" s="39"/>
      <c r="E12" s="39"/>
      <c r="F12" s="40"/>
      <c r="G12" s="20">
        <f>IF(G11 = 0,0,G10/G11)</f>
        <v>0</v>
      </c>
      <c r="H12" s="21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109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102</v>
      </c>
      <c r="C9" s="91"/>
      <c r="D9" s="92"/>
      <c r="E9" s="11">
        <v>3415771.6505959975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103</v>
      </c>
      <c r="C10" s="91"/>
      <c r="D10" s="92"/>
      <c r="E10" s="11">
        <v>2983897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110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104</v>
      </c>
      <c r="C12" s="97"/>
      <c r="D12" s="98"/>
      <c r="E12" s="17">
        <f>E9-(E10-E11)</f>
        <v>431874.65059599746</v>
      </c>
      <c r="F12" s="25" t="s">
        <v>3</v>
      </c>
      <c r="G12" s="17">
        <f>E12</f>
        <v>431874.65059599746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114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111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112</v>
      </c>
      <c r="C19" s="94"/>
      <c r="D19" s="95"/>
      <c r="E19" s="11">
        <v>4</v>
      </c>
      <c r="F19" s="22" t="s">
        <v>40</v>
      </c>
      <c r="G19" s="14"/>
      <c r="H19" s="28"/>
      <c r="I19" s="1"/>
    </row>
    <row r="20" spans="1:9" x14ac:dyDescent="0.25">
      <c r="A20" s="1"/>
      <c r="B20" s="93" t="s">
        <v>113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115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116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4.42578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138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139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106</v>
      </c>
      <c r="E9" s="18" t="s">
        <v>2</v>
      </c>
      <c r="F9" s="18" t="s">
        <v>85</v>
      </c>
      <c r="G9" s="18" t="s">
        <v>86</v>
      </c>
      <c r="H9" s="36"/>
      <c r="I9" s="1"/>
    </row>
    <row r="10" spans="1:9" ht="15" customHeight="1" x14ac:dyDescent="0.25">
      <c r="A10" s="1"/>
      <c r="B10" s="61" t="s">
        <v>145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140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90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42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36</v>
      </c>
      <c r="C9" s="36"/>
      <c r="D9" s="29" t="s">
        <v>18</v>
      </c>
      <c r="E9" s="36"/>
      <c r="F9" s="29" t="s">
        <v>107</v>
      </c>
      <c r="G9" s="36"/>
      <c r="H9" s="1"/>
    </row>
    <row r="10" spans="1:8" x14ac:dyDescent="0.25">
      <c r="A10" s="1"/>
      <c r="B10" s="56" t="s">
        <v>139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143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144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155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37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38</v>
      </c>
      <c r="C9" s="29" t="s">
        <v>18</v>
      </c>
      <c r="D9" s="36"/>
      <c r="E9" s="29" t="s">
        <v>107</v>
      </c>
      <c r="F9" s="36"/>
      <c r="G9" s="1"/>
    </row>
    <row r="10" spans="1:7" x14ac:dyDescent="0.25">
      <c r="A10" s="1"/>
      <c r="B10" s="56" t="s">
        <v>151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141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142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156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24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50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51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52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tabSelected="1" view="pageLayout" topLeftCell="A7" zoomScaleNormal="100" workbookViewId="0">
      <selection activeCell="D11" sqref="D11"/>
    </sheetView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44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22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56</v>
      </c>
      <c r="C9" s="7">
        <f>'Fane 3. Omkostninger i ØR2018'!G13</f>
        <v>1981351.4803523885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47</v>
      </c>
      <c r="C10" s="7">
        <f>'Fane 3. Omkostninger i ØR2018'!G10</f>
        <v>0</v>
      </c>
      <c r="D10" s="8" t="s">
        <v>3</v>
      </c>
      <c r="E10" s="32"/>
      <c r="F10" s="13"/>
      <c r="G10" s="1"/>
    </row>
    <row r="11" spans="1:7" x14ac:dyDescent="0.25">
      <c r="A11" s="1"/>
      <c r="B11" s="42" t="s">
        <v>48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49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39</v>
      </c>
      <c r="C13" s="11">
        <f>(C9-C10)*Prisudvikling2017+C10*Prisudvikling2018+SUM(C11:C12)*Prisudvikling2019</f>
        <v>25163.163800475333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-34110.748950598689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43</v>
      </c>
      <c r="C15" s="17">
        <f>SUM(C9,C11:C14)</f>
        <v>1972403.8952022651</v>
      </c>
      <c r="D15" s="18" t="s">
        <v>3</v>
      </c>
      <c r="E15" s="17">
        <f>C15</f>
        <v>1972403.8952022651</v>
      </c>
      <c r="F15" s="18" t="s">
        <v>3</v>
      </c>
      <c r="G15" s="1"/>
    </row>
    <row r="16" spans="1:7" x14ac:dyDescent="0.25">
      <c r="A16" s="1"/>
      <c r="B16" s="38" t="s">
        <v>41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149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79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80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19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19</v>
      </c>
      <c r="C21" s="11">
        <f>'Fane 5. Ikke-påvirkelige omk.'!E14</f>
        <v>1612935.7119096997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82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83</v>
      </c>
      <c r="C23" s="17">
        <f>SUM(C21:C22)</f>
        <v>1612935.7119096997</v>
      </c>
      <c r="D23" s="18" t="s">
        <v>3</v>
      </c>
      <c r="E23" s="17">
        <f>C23</f>
        <v>1612935.7119096997</v>
      </c>
      <c r="F23" s="18" t="s">
        <v>3</v>
      </c>
      <c r="G23" s="1"/>
    </row>
    <row r="24" spans="1:7" ht="15" customHeight="1" x14ac:dyDescent="0.25">
      <c r="A24" s="1"/>
      <c r="B24" s="38" t="s">
        <v>84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58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59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60</v>
      </c>
      <c r="C27" s="7">
        <v>6986.579699896356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61</v>
      </c>
      <c r="C28" s="17">
        <f>SUM(C25:C27)</f>
        <v>6986.579699896356</v>
      </c>
      <c r="D28" s="18" t="s">
        <v>3</v>
      </c>
      <c r="E28" s="17">
        <f>C28</f>
        <v>6986.579699896356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21</v>
      </c>
      <c r="C30" s="17">
        <f>'Fane 7. Hist. over el. underdæk'!G12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33</v>
      </c>
      <c r="C31" s="39"/>
      <c r="D31" s="40"/>
      <c r="E31" s="20">
        <f>SUM(E15,E19,E23,E28,E30)</f>
        <v>3592326.1868118611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45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22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63</v>
      </c>
      <c r="C9" s="7">
        <f>'Fane 2.1. Økonomisk ramme 2019'!E15</f>
        <v>1972403.8952022651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47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64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39</v>
      </c>
      <c r="C12" s="11">
        <f>(C9-C10-C11)*Prisudvikling2017+C10*Prisudvikling2018+C11*Prisudvikling2019</f>
        <v>25049.529469068766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-33956.708219412678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43</v>
      </c>
      <c r="C14" s="17">
        <f>SUM(C9,C12:C13)</f>
        <v>1963496.7164519213</v>
      </c>
      <c r="D14" s="18" t="s">
        <v>3</v>
      </c>
      <c r="E14" s="17">
        <f>C14</f>
        <v>1963496.7164519213</v>
      </c>
      <c r="F14" s="18" t="s">
        <v>3</v>
      </c>
      <c r="G14" s="1"/>
    </row>
    <row r="15" spans="1:7" ht="15" customHeight="1" x14ac:dyDescent="0.25">
      <c r="A15" s="1"/>
      <c r="B15" s="38" t="s">
        <v>41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149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79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80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19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19</v>
      </c>
      <c r="C20" s="11">
        <f>'Fane 5. Ikke-påvirkelige omk.'!E14*(1+Prisudvikling2019)</f>
        <v>1640194.3254409735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82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83</v>
      </c>
      <c r="C22" s="17">
        <f>SUM(C20:C21)</f>
        <v>1640194.3254409735</v>
      </c>
      <c r="D22" s="18" t="s">
        <v>3</v>
      </c>
      <c r="E22" s="17">
        <f>C22</f>
        <v>1640194.3254409735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21</v>
      </c>
      <c r="C24" s="17">
        <f>IF('Fane 7. Hist. over el. underdæk'!G11&gt;1,'Fane 7. Hist. over el. underdæk'!G12,0)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65</v>
      </c>
      <c r="C25" s="39"/>
      <c r="D25" s="40"/>
      <c r="E25" s="20">
        <f>SUM(E14,E18,E22,E24)</f>
        <v>3603691.0418928945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87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46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22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66</v>
      </c>
      <c r="C9" s="7">
        <f>'Fane 2.2. Økonomisk ramme 2020'!E14</f>
        <v>1963496.7164519213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25</v>
      </c>
      <c r="C10" s="7">
        <f>'Fane 4. Korrigeret grundlag'!G24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39</v>
      </c>
      <c r="C11" s="11">
        <f>SUM(C9:C10)*Prisudvikling2019</f>
        <v>33183.094508037466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-33943.556786319299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43</v>
      </c>
      <c r="C13" s="17">
        <f>SUM(C9:C12)</f>
        <v>1962736.2541736395</v>
      </c>
      <c r="D13" s="18" t="s">
        <v>3</v>
      </c>
      <c r="E13" s="17">
        <f>C13</f>
        <v>1962736.2541736395</v>
      </c>
      <c r="F13" s="18" t="s">
        <v>3</v>
      </c>
      <c r="G13" s="1"/>
    </row>
    <row r="14" spans="1:7" x14ac:dyDescent="0.25">
      <c r="A14" s="1"/>
      <c r="B14" s="38" t="s">
        <v>41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149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79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80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19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19</v>
      </c>
      <c r="C19" s="11">
        <f>'Fane 5. Ikke-påvirkelige omk.'!E14*(1+Prisudvikling2019)^2</f>
        <v>1667913.6095409258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82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83</v>
      </c>
      <c r="C21" s="17">
        <f>SUM(C19:C20)</f>
        <v>1667913.6095409258</v>
      </c>
      <c r="D21" s="18" t="s">
        <v>3</v>
      </c>
      <c r="E21" s="17">
        <f>C21</f>
        <v>1667913.6095409258</v>
      </c>
      <c r="F21" s="18" t="s">
        <v>3</v>
      </c>
      <c r="G21" s="1"/>
    </row>
    <row r="22" spans="1:7" x14ac:dyDescent="0.25">
      <c r="A22" s="1"/>
      <c r="B22" s="38" t="s">
        <v>121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31</v>
      </c>
      <c r="C23" s="17">
        <f>'Fane 6. Korrektion prisloft 16'!G13</f>
        <v>0</v>
      </c>
      <c r="D23" s="18" t="s">
        <v>3</v>
      </c>
      <c r="E23" s="17">
        <f>C23</f>
        <v>0</v>
      </c>
      <c r="F23" s="18" t="s">
        <v>3</v>
      </c>
      <c r="G23" s="1"/>
    </row>
    <row r="24" spans="1:7" x14ac:dyDescent="0.25">
      <c r="A24" s="1"/>
      <c r="B24" s="38" t="s">
        <v>118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119</v>
      </c>
      <c r="C25" s="11">
        <f>'Fane 6. Korrektion prisloft 16'!G22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117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120</v>
      </c>
      <c r="C27" s="55">
        <f>SUM(C25:C26)</f>
        <v>0</v>
      </c>
      <c r="D27" s="36" t="s">
        <v>3</v>
      </c>
      <c r="E27" s="17">
        <f>C27</f>
        <v>0</v>
      </c>
      <c r="F27" s="18" t="s">
        <v>3</v>
      </c>
      <c r="G27" s="1"/>
    </row>
    <row r="28" spans="1:7" x14ac:dyDescent="0.25">
      <c r="A28" s="1"/>
      <c r="B28" s="38" t="s">
        <v>81</v>
      </c>
      <c r="C28" s="39"/>
      <c r="D28" s="40"/>
      <c r="E28" s="20">
        <f>SUM(E13,E17,E21,E23,E27)</f>
        <v>3630649.8637145655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88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46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22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76</v>
      </c>
      <c r="C9" s="7">
        <f>'Fane 2.3. Økonomisk ramme 2021'!E13</f>
        <v>1962736.2541736395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39</v>
      </c>
      <c r="C10" s="11">
        <f>C9*Prisudvikling2019</f>
        <v>33170.242695534507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-33930.410446775961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43</v>
      </c>
      <c r="C12" s="17">
        <f>SUM(C9:C11)</f>
        <v>1961976.0864223982</v>
      </c>
      <c r="D12" s="18" t="s">
        <v>3</v>
      </c>
      <c r="E12" s="17">
        <f>C12</f>
        <v>1961976.0864223982</v>
      </c>
      <c r="F12" s="18" t="s">
        <v>3</v>
      </c>
      <c r="G12" s="1"/>
    </row>
    <row r="13" spans="1:7" x14ac:dyDescent="0.25">
      <c r="A13" s="1"/>
      <c r="B13" s="38" t="s">
        <v>41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149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79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80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19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19</v>
      </c>
      <c r="C18" s="11">
        <f>'Fane 5. Ikke-påvirkelige omk.'!E14*(1+Prisudvikling2019)^3</f>
        <v>1696101.349542167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82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83</v>
      </c>
      <c r="C20" s="17">
        <f>SUM(C18:C19)</f>
        <v>1696101.349542167</v>
      </c>
      <c r="D20" s="18" t="s">
        <v>3</v>
      </c>
      <c r="E20" s="17">
        <f>C20</f>
        <v>1696101.349542167</v>
      </c>
      <c r="F20" s="18" t="s">
        <v>3</v>
      </c>
      <c r="G20" s="1"/>
    </row>
    <row r="21" spans="1:7" x14ac:dyDescent="0.25">
      <c r="A21" s="1"/>
      <c r="B21" s="38" t="s">
        <v>121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31</v>
      </c>
      <c r="C22" s="17">
        <f>'Fane 2.3. Økonomisk ramme 2021'!C23*(1+Prisudvikling2019)</f>
        <v>0</v>
      </c>
      <c r="D22" s="18" t="s">
        <v>3</v>
      </c>
      <c r="E22" s="17">
        <f>C22</f>
        <v>0</v>
      </c>
      <c r="F22" s="18" t="s">
        <v>3</v>
      </c>
      <c r="G22" s="1"/>
    </row>
    <row r="23" spans="1:7" ht="15" customHeight="1" x14ac:dyDescent="0.25">
      <c r="A23" s="1"/>
      <c r="B23" s="38" t="s">
        <v>118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119</v>
      </c>
      <c r="C24" s="11">
        <f>'Fane 2.3. Økonomisk ramme 2021'!C25*(1+Prisudvikling2019)</f>
        <v>0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117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0</v>
      </c>
      <c r="D26" s="36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38" t="s">
        <v>75</v>
      </c>
      <c r="C27" s="39"/>
      <c r="D27" s="40"/>
      <c r="E27" s="20">
        <f>SUM(E12,E16,E20,E22,E26)</f>
        <v>3658077.4359645653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>
      <selection activeCell="G11" sqref="G11"/>
    </sheetView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89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56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32</v>
      </c>
      <c r="C9" s="46"/>
      <c r="D9" s="46"/>
      <c r="E9" s="46"/>
      <c r="F9" s="47"/>
      <c r="G9" s="11">
        <v>3438061.8368266332</v>
      </c>
      <c r="H9" s="22" t="s">
        <v>3</v>
      </c>
      <c r="I9" s="1"/>
    </row>
    <row r="10" spans="1:9" x14ac:dyDescent="0.25">
      <c r="A10" s="1"/>
      <c r="B10" s="44" t="s">
        <v>57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54</v>
      </c>
      <c r="C11" s="46"/>
      <c r="D11" s="46"/>
      <c r="E11" s="46"/>
      <c r="F11" s="47"/>
      <c r="G11" s="11">
        <v>1456710.3564742447</v>
      </c>
      <c r="H11" s="22" t="s">
        <v>3</v>
      </c>
      <c r="I11" s="1"/>
    </row>
    <row r="12" spans="1:9" x14ac:dyDescent="0.25">
      <c r="A12" s="1"/>
      <c r="B12" s="44" t="s">
        <v>55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77</v>
      </c>
      <c r="C13" s="49"/>
      <c r="D13" s="49"/>
      <c r="E13" s="49"/>
      <c r="F13" s="50"/>
      <c r="G13" s="34">
        <f>G9-G11-G12</f>
        <v>1981351.4803523885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67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68</v>
      </c>
      <c r="C9" s="46"/>
      <c r="D9" s="46"/>
      <c r="E9" s="46"/>
      <c r="F9" s="47"/>
      <c r="G9" s="11">
        <v>1039877.8444014302</v>
      </c>
      <c r="H9" s="22" t="s">
        <v>3</v>
      </c>
      <c r="I9" s="1"/>
    </row>
    <row r="10" spans="1:9" x14ac:dyDescent="0.25">
      <c r="A10" s="1"/>
      <c r="B10" s="45" t="s">
        <v>69</v>
      </c>
      <c r="C10" s="46"/>
      <c r="D10" s="46"/>
      <c r="E10" s="46"/>
      <c r="F10" s="47"/>
      <c r="G10" s="11">
        <v>984878.7580237831</v>
      </c>
      <c r="H10" s="22" t="s">
        <v>3</v>
      </c>
      <c r="I10" s="1"/>
    </row>
    <row r="11" spans="1:9" ht="26.25" customHeight="1" x14ac:dyDescent="0.25">
      <c r="A11" s="1"/>
      <c r="B11" s="48" t="s">
        <v>70</v>
      </c>
      <c r="C11" s="49"/>
      <c r="D11" s="49"/>
      <c r="E11" s="49"/>
      <c r="F11" s="50"/>
      <c r="G11" s="34">
        <f>SUM(G9:G10)</f>
        <v>2024756.6024252134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71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34</v>
      </c>
      <c r="C15" s="46"/>
      <c r="D15" s="46"/>
      <c r="E15" s="46"/>
      <c r="F15" s="47"/>
      <c r="G15" s="11">
        <v>1039877.8444014302</v>
      </c>
      <c r="H15" s="22" t="s">
        <v>3</v>
      </c>
      <c r="I15" s="1"/>
    </row>
    <row r="16" spans="1:9" x14ac:dyDescent="0.25">
      <c r="A16" s="1"/>
      <c r="B16" s="45" t="s">
        <v>35</v>
      </c>
      <c r="C16" s="46"/>
      <c r="D16" s="46"/>
      <c r="E16" s="46"/>
      <c r="F16" s="47"/>
      <c r="G16" s="11">
        <v>984878.7580237831</v>
      </c>
      <c r="H16" s="22" t="s">
        <v>3</v>
      </c>
      <c r="I16" s="1"/>
    </row>
    <row r="17" spans="1:9" ht="26.25" customHeight="1" x14ac:dyDescent="0.25">
      <c r="A17" s="1"/>
      <c r="B17" s="48" t="s">
        <v>72</v>
      </c>
      <c r="C17" s="49"/>
      <c r="D17" s="49"/>
      <c r="E17" s="49"/>
      <c r="F17" s="50"/>
      <c r="G17" s="34">
        <f>SUM(G15:G16)</f>
        <v>2024756.6024252134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25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73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74</v>
      </c>
      <c r="C22" s="46"/>
      <c r="D22" s="46"/>
      <c r="E22" s="46"/>
      <c r="F22" s="47"/>
      <c r="G22" s="11">
        <f>G16-G10</f>
        <v>0</v>
      </c>
      <c r="H22" s="22" t="s">
        <v>3</v>
      </c>
      <c r="I22" s="1"/>
    </row>
    <row r="23" spans="1:9" ht="15" customHeight="1" x14ac:dyDescent="0.25">
      <c r="A23" s="1"/>
      <c r="B23" s="48" t="s">
        <v>136</v>
      </c>
      <c r="C23" s="49"/>
      <c r="D23" s="49"/>
      <c r="E23" s="49"/>
      <c r="F23" s="50"/>
      <c r="G23" s="20">
        <f>SUM(G21:G22)</f>
        <v>0</v>
      </c>
      <c r="H23" s="21" t="s">
        <v>3</v>
      </c>
      <c r="I23" s="1"/>
    </row>
    <row r="24" spans="1:9" ht="15" customHeight="1" x14ac:dyDescent="0.25">
      <c r="A24" s="1"/>
      <c r="B24" s="48" t="s">
        <v>137</v>
      </c>
      <c r="C24" s="49"/>
      <c r="D24" s="49"/>
      <c r="E24" s="49"/>
      <c r="F24" s="50"/>
      <c r="G24" s="20">
        <f>G23*(1+Prisudvikling2019)^3</f>
        <v>0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108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150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>
      <selection activeCell="F18" sqref="F18"/>
    </sheetView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130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78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105</v>
      </c>
      <c r="C9" s="30"/>
      <c r="D9" s="36"/>
      <c r="E9" s="18" t="s">
        <v>53</v>
      </c>
      <c r="F9" s="18"/>
      <c r="G9" s="1"/>
      <c r="H9" s="1"/>
    </row>
    <row r="10" spans="1:8" x14ac:dyDescent="0.25">
      <c r="A10" s="1"/>
      <c r="B10" s="41" t="s">
        <v>146</v>
      </c>
      <c r="C10" s="46"/>
      <c r="D10" s="47"/>
      <c r="E10" s="11">
        <v>1455106</v>
      </c>
      <c r="F10" s="22" t="s">
        <v>3</v>
      </c>
      <c r="G10" s="1"/>
      <c r="H10" s="1"/>
    </row>
    <row r="11" spans="1:8" x14ac:dyDescent="0.25">
      <c r="A11" s="1"/>
      <c r="B11" s="41" t="s">
        <v>147</v>
      </c>
      <c r="C11" s="46"/>
      <c r="D11" s="47"/>
      <c r="E11" s="11">
        <v>3072</v>
      </c>
      <c r="F11" s="22" t="s">
        <v>3</v>
      </c>
      <c r="G11" s="1"/>
      <c r="H11" s="1"/>
    </row>
    <row r="12" spans="1:8" x14ac:dyDescent="0.25">
      <c r="A12" s="1"/>
      <c r="B12" s="41" t="s">
        <v>148</v>
      </c>
      <c r="C12" s="46"/>
      <c r="D12" s="47"/>
      <c r="E12" s="11">
        <v>101592</v>
      </c>
      <c r="F12" s="22" t="s">
        <v>3</v>
      </c>
      <c r="G12" s="1"/>
      <c r="H12" s="1"/>
    </row>
    <row r="13" spans="1:8" x14ac:dyDescent="0.25">
      <c r="A13" s="1"/>
      <c r="B13" s="38" t="s">
        <v>133</v>
      </c>
      <c r="C13" s="39"/>
      <c r="D13" s="40"/>
      <c r="E13" s="20">
        <f>SUM(E10:E12)</f>
        <v>1559770</v>
      </c>
      <c r="F13" s="21" t="s">
        <v>3</v>
      </c>
      <c r="G13" s="1"/>
      <c r="H13" s="1"/>
    </row>
    <row r="14" spans="1:8" x14ac:dyDescent="0.25">
      <c r="A14" s="1"/>
      <c r="B14" s="38" t="s">
        <v>134</v>
      </c>
      <c r="C14" s="39"/>
      <c r="D14" s="40"/>
      <c r="E14" s="20">
        <f>E13*(1+Prisudvikling2019)^2</f>
        <v>1612935.7119096997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121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31</v>
      </c>
      <c r="C9" s="91"/>
      <c r="D9" s="92"/>
      <c r="E9" s="11">
        <v>0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112</v>
      </c>
      <c r="C10" s="94"/>
      <c r="D10" s="95"/>
      <c r="E10" s="11">
        <v>4</v>
      </c>
      <c r="F10" s="22" t="s">
        <v>40</v>
      </c>
      <c r="G10" s="14"/>
      <c r="H10" s="28"/>
      <c r="I10" s="1"/>
    </row>
    <row r="11" spans="1:9" x14ac:dyDescent="0.25">
      <c r="A11" s="1"/>
      <c r="B11" s="93" t="s">
        <v>122</v>
      </c>
      <c r="C11" s="94"/>
      <c r="D11" s="95"/>
      <c r="E11" s="11">
        <f>E9/E10</f>
        <v>0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128</v>
      </c>
      <c r="C12" s="88"/>
      <c r="D12" s="88"/>
      <c r="E12" s="88"/>
      <c r="F12" s="89"/>
      <c r="G12" s="20">
        <f>E11</f>
        <v>0</v>
      </c>
      <c r="H12" s="21" t="s">
        <v>3</v>
      </c>
      <c r="I12" s="1"/>
    </row>
    <row r="13" spans="1:9" x14ac:dyDescent="0.25">
      <c r="A13" s="1"/>
      <c r="B13" s="87" t="s">
        <v>124</v>
      </c>
      <c r="C13" s="88"/>
      <c r="D13" s="88"/>
      <c r="E13" s="88"/>
      <c r="F13" s="89"/>
      <c r="G13" s="20">
        <f>G12*(1+Prisudvikling2018)*(1+Prisudvikling2019)^4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119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119</v>
      </c>
      <c r="C18" s="91"/>
      <c r="D18" s="92"/>
      <c r="E18" s="11"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112</v>
      </c>
      <c r="C19" s="94"/>
      <c r="D19" s="95"/>
      <c r="E19" s="11">
        <v>4</v>
      </c>
      <c r="F19" s="22" t="s">
        <v>40</v>
      </c>
      <c r="G19" s="14"/>
      <c r="H19" s="28"/>
      <c r="I19" s="1"/>
    </row>
    <row r="20" spans="1:9" x14ac:dyDescent="0.25">
      <c r="A20" s="1"/>
      <c r="B20" s="93" t="s">
        <v>123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128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124</v>
      </c>
      <c r="C22" s="88"/>
      <c r="D22" s="88"/>
      <c r="E22" s="88"/>
      <c r="F22" s="89"/>
      <c r="G22" s="20">
        <f>G21*(1+Prisudvikling2018)*(1+Prisudvikling2019)^4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2018-09-19T13:47:55Z</dcterms:modified>
</cp:coreProperties>
</file>