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49" i="11" l="1"/>
  <c r="E5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14" i="19" l="1"/>
  <c r="C21" i="2" l="1"/>
  <c r="C22" i="2" s="1"/>
  <c r="E22" i="2" s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4" i="2"/>
  <c r="G12" i="34" l="1"/>
  <c r="C24" i="22" s="1"/>
  <c r="E24" i="22" s="1"/>
  <c r="G10" i="30" l="1"/>
  <c r="G12" i="30"/>
  <c r="E10" i="11" l="1"/>
  <c r="G53" i="11"/>
  <c r="F53" i="11"/>
  <c r="D10" i="20" s="1"/>
  <c r="C34" i="2" l="1"/>
  <c r="C17" i="23" l="1"/>
  <c r="E17" i="23" s="1"/>
  <c r="C18" i="22" l="1"/>
  <c r="E18" i="22" s="1"/>
  <c r="C18" i="15"/>
  <c r="E18" i="15" s="1"/>
  <c r="C25" i="2"/>
  <c r="E25" i="2" s="1"/>
  <c r="G13" i="27"/>
  <c r="D12" i="20" l="1"/>
  <c r="F11" i="21"/>
  <c r="F12" i="21" s="1"/>
  <c r="C13" i="2" s="1"/>
  <c r="D11" i="21"/>
  <c r="D12" i="21" s="1"/>
  <c r="C12" i="2" s="1"/>
  <c r="C9" i="2"/>
  <c r="E15" i="19"/>
  <c r="C27" i="2" l="1"/>
  <c r="C29" i="2" s="1"/>
  <c r="E29" i="2" s="1"/>
  <c r="C20" i="22"/>
  <c r="C22" i="22" s="1"/>
  <c r="E22" i="22" s="1"/>
  <c r="C19" i="23"/>
  <c r="C20" i="15"/>
  <c r="C22" i="15" l="1"/>
  <c r="E22" i="15" s="1"/>
  <c r="C21" i="23"/>
  <c r="E21" i="23" s="1"/>
  <c r="G11" i="10"/>
  <c r="E34" i="2" l="1"/>
  <c r="G13" i="10"/>
  <c r="C24" i="15" s="1"/>
  <c r="E52" i="11"/>
  <c r="E24" i="15" l="1"/>
  <c r="D13" i="20"/>
  <c r="C10" i="2" s="1"/>
  <c r="C16" i="2" s="1"/>
  <c r="C12" i="15" l="1"/>
  <c r="C12" i="22" s="1"/>
  <c r="C11" i="23" s="1"/>
  <c r="E51" i="11"/>
  <c r="E53" i="11" l="1"/>
  <c r="F10" i="20" s="1"/>
  <c r="F12" i="20" s="1"/>
  <c r="F13" i="20" s="1"/>
  <c r="C11" i="2" s="1"/>
  <c r="C17" i="2" s="1"/>
  <c r="C36" i="2"/>
  <c r="E36" i="2" s="1"/>
  <c r="C13" i="15" l="1"/>
  <c r="C13" i="22" s="1"/>
  <c r="C12" i="23" s="1"/>
  <c r="C14" i="2"/>
  <c r="C15" i="2" s="1"/>
  <c r="C18" i="2" l="1"/>
  <c r="E18" i="2" s="1"/>
  <c r="E37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<sst xmlns="http://schemas.openxmlformats.org/spreadsheetml/2006/main" count="415" uniqueCount="160">
  <si>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</si>
  <si>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</si>
  <si>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</si>
  <si>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</si>
  <si>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</si>
  <si>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</si>
  <si>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</si>
  <si>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</si>
  <si>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</si>
  <si>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</si>
  <si>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</si>
  <si>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</si>
  <si>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</si>
  <si>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</si>
  <si>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</si>
  <si>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</si>
  <si>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</si>
  <si>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</si>
  <si>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</si>
  <si>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</si>
  <si>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</si>
  <si>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</si>
  <si>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</si>
  <si>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</si>
  <si>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</si>
  <si>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</si>
  <si>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</si>
  <si>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</si>
  <si>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</si>
  <si>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</si>
  <si>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</si>
  <si>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</si>
  <si>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</si>
  <si>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</si>
  <si>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</si>
  <si>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</si>
  <si>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</si>
  <si>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</si>
  <si>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</si>
  <si>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</si>
  <si>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</si>
  <si>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</si>
  <si>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</si>
  <si>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</si>
  <si>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</si>
  <si>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</si>
  <si>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</si>
  <si>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</si>
  <si>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</si>
  <si>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</si>
  <si>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</si>
  <si>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</si>
  <si>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</si>
  <si>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</si>
  <si>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</si>
  <si>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</si>
  <si>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</si>
  <si>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</si>
  <si>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</si>
  <si>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</si>
  <si>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</si>
  <si>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</si>
  <si>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</si>
  <si>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</si>
  <si>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</si>
  <si>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</si>
  <si>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</si>
  <si>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</si>
  <si>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</si>
  <si>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</si>
  <si>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</si>
  <si>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</si>
  <si>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</si>
  <si>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Periodevise driftsomkostninger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</si>
  <si>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</si>
  <si>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</si>
  <si>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</si>
  <si>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</si>
  <si>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</si>
  <si>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</si>
  <si>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</si>
  <si>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</si>
  <si>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</si>
  <si>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</si>
  <si>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</si>
  <si>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</si>
  <si>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</si>
  <si>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</si>
  <si>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</si>
  <si>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</si>
  <si>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</si>
  <si>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</si>
  <si>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</si>
  <si>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</si>
  <si>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</si>
  <si>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</si>
  <si>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</si>
  <si>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</si>
  <si>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</si>
  <si>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</si>
  <si>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</si>
  <si>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</si>
  <si>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</si>
  <si>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</si>
  <si>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</si>
  <si>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</si>
  <si>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</si>
  <si>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</si>
  <si>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</si>
  <si>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</si>
  <si>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</si>
  <si>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</si>
  <si>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</si>
  <si>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</si>
  <si>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</si>
  <si>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</si>
  <si>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</si>
  <si>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</si>
  <si>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</si>
  <si>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</si>
  <si>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</si>
  <si>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</si>
  <si>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</si>
  <si>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</si>
  <si>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</si>
  <si>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</si>
  <si>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</si>
  <si>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</si>
  <si>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</si>
  <si>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Engangstillæg til nye periodevise driftsomkostninger i 2017</t>
  </si>
  <si>
    <t>Effektiviseringskrav</t>
  </si>
  <si>
    <t>Engangstillæg til nye periodevise driftsomkostninger i 2017 i alt</t>
  </si>
  <si>
    <t>Periodevise driftsomkostninger under prisloftsbekendtgørelsen</t>
  </si>
  <si>
    <t>Periodevise driftsomkostninger under PL-bekendtgørelsen i alt</t>
  </si>
  <si>
    <t>Ingen bortfald eller nedsættelse</t>
  </si>
  <si>
    <t>Afgift til Forsyningsekretariatet</t>
  </si>
  <si>
    <t>Køb af ydelser og produkter fra andre vandselskaber reguleret af vandsektorloven</t>
  </si>
  <si>
    <t>Skatter og afgifter</t>
  </si>
  <si>
    <t>Erstatninger</t>
  </si>
  <si>
    <t>Fane 10: Bortfald eller nedsættelse af omkostninger til mål, medfinansiering eller udvidelse</t>
  </si>
  <si>
    <t>Fane 11: Nøgletal</t>
  </si>
  <si>
    <t>Tryksatte minipumpestationer (husstandssystemer)</t>
  </si>
  <si>
    <t>Pumpestationer i brønde (&lt; 6,25 m2), Mek/EL</t>
  </si>
  <si>
    <t>Pumpestationer m. overbygning (&lt; 20 m2), Konstruktioner</t>
  </si>
  <si>
    <t>Pumpestationer m. overbygning (&lt; 20 m2), Mek/EL</t>
  </si>
  <si>
    <t>Pumpestationer m. overbygning (&lt; 20 m2), SRO</t>
  </si>
  <si>
    <t>Ø 200 mm &lt; Ledningsnet ≤ Ø 500 mm</t>
  </si>
  <si>
    <t>Brønde</t>
  </si>
  <si>
    <t>Stik</t>
  </si>
  <si>
    <t>Ledningsnet ≤ Ø 200 mm</t>
  </si>
  <si>
    <t>Ø 500 mm &lt; Ledningsnet ≤ Ø 800 mm</t>
  </si>
  <si>
    <t>Strømpeforing ≤ Ø 200 mm</t>
  </si>
  <si>
    <t>Pumpestationer i brønde (&lt; 6,25 m2), Konstruktioner</t>
  </si>
  <si>
    <t>Ø 800 mm &lt; Ledningsnet ≤ Ø 1000 mm</t>
  </si>
  <si>
    <t>Ø 1000 mm &lt; Ledningsnet ≤ Ø 1200 mm</t>
  </si>
  <si>
    <t>Arbejdsplads</t>
  </si>
  <si>
    <t>Andre bygninger (tekniske installationer, målere mv.)</t>
  </si>
  <si>
    <t>Strømpeforing Ø 1000 mm &lt; Ledningsnet ≤ Ø 1200 mm</t>
  </si>
  <si>
    <t>- Heraf periodevise driftsomkostninger som ikke skal videreføres</t>
  </si>
  <si>
    <t>Periodevise driftsomkostninger før effektiviseringskrav i 2018 som ikke skal videreføres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</si>
</sst>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9" t="s">
        <v>3</v>
      </c>
      <c r="E6" s="79"/>
      <c r="F6" s="79"/>
      <c r="G6" s="79"/>
      <c r="H6" s="3"/>
      <c r="I6" s="1"/>
    </row>
    <row r="7" spans="1:9" ht="15" customHeight="1" x14ac:dyDescent="0.25">
      <c r="A7" s="1"/>
      <c r="B7" s="1"/>
      <c r="C7" s="3"/>
      <c r="D7" s="79"/>
      <c r="E7" s="79"/>
      <c r="F7" s="79"/>
      <c r="G7" s="79"/>
      <c r="H7" s="3"/>
      <c r="I7" s="1"/>
    </row>
    <row r="8" spans="1:9" ht="15.75" x14ac:dyDescent="0.25">
      <c r="A8" s="1"/>
      <c r="B8" s="1"/>
      <c r="C8" s="4"/>
      <c r="D8" s="81" t="s">
        <v>119</v>
      </c>
      <c r="E8" s="81"/>
      <c r="F8" s="81"/>
      <c r="G8" s="8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0" t="s">
        <v>4</v>
      </c>
      <c r="E11" s="80"/>
      <c r="F11" s="80"/>
      <c r="G11" s="8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6" t="s">
        <v>31</v>
      </c>
      <c r="E13" s="77"/>
      <c r="F13" s="77"/>
      <c r="G13" s="78"/>
      <c r="H13" s="1"/>
      <c r="I13" s="1"/>
    </row>
    <row r="14" spans="1:9" x14ac:dyDescent="0.25">
      <c r="A14" s="1"/>
      <c r="B14" s="1"/>
      <c r="C14" s="6" t="s">
        <v>30</v>
      </c>
      <c r="D14" s="76" t="s">
        <v>91</v>
      </c>
      <c r="E14" s="77"/>
      <c r="F14" s="77"/>
      <c r="G14" s="78"/>
      <c r="H14" s="1"/>
      <c r="I14" s="1"/>
    </row>
    <row r="15" spans="1:9" x14ac:dyDescent="0.25">
      <c r="A15" s="1"/>
      <c r="B15" s="1"/>
      <c r="C15" s="6" t="s">
        <v>90</v>
      </c>
      <c r="D15" s="76" t="s">
        <v>93</v>
      </c>
      <c r="E15" s="77"/>
      <c r="F15" s="77"/>
      <c r="G15" s="78"/>
      <c r="H15" s="1"/>
      <c r="I15" s="1"/>
    </row>
    <row r="16" spans="1:9" x14ac:dyDescent="0.25">
      <c r="A16" s="1"/>
      <c r="B16" s="1"/>
      <c r="C16" s="6" t="s">
        <v>92</v>
      </c>
      <c r="D16" s="76" t="s">
        <v>120</v>
      </c>
      <c r="E16" s="77"/>
      <c r="F16" s="77"/>
      <c r="G16" s="78"/>
      <c r="H16" s="1"/>
      <c r="I16" s="1"/>
    </row>
    <row r="17" spans="1:9" x14ac:dyDescent="0.25">
      <c r="A17" s="1"/>
      <c r="B17" s="1"/>
      <c r="C17" s="6" t="s">
        <v>6</v>
      </c>
      <c r="D17" s="82" t="s">
        <v>94</v>
      </c>
      <c r="E17" s="83"/>
      <c r="F17" s="83"/>
      <c r="G17" s="84"/>
      <c r="H17" s="1"/>
      <c r="I17" s="1"/>
    </row>
    <row r="18" spans="1:9" x14ac:dyDescent="0.25">
      <c r="A18" s="1"/>
      <c r="B18" s="1"/>
      <c r="C18" s="6" t="s">
        <v>7</v>
      </c>
      <c r="D18" s="82" t="s">
        <v>95</v>
      </c>
      <c r="E18" s="83"/>
      <c r="F18" s="83"/>
      <c r="G18" s="84"/>
      <c r="H18" s="1"/>
      <c r="I18" s="1"/>
    </row>
    <row r="19" spans="1:9" x14ac:dyDescent="0.25">
      <c r="A19" s="1"/>
      <c r="B19" s="1"/>
      <c r="C19" s="6" t="s">
        <v>8</v>
      </c>
      <c r="D19" s="67" t="s">
        <v>99</v>
      </c>
      <c r="E19" s="68"/>
      <c r="F19" s="68"/>
      <c r="G19" s="69"/>
      <c r="H19" s="1"/>
      <c r="I19" s="1"/>
    </row>
    <row r="20" spans="1:9" x14ac:dyDescent="0.25">
      <c r="A20" s="1"/>
      <c r="B20" s="1"/>
      <c r="C20" s="6" t="s">
        <v>9</v>
      </c>
      <c r="D20" s="70" t="s">
        <v>96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118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100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73" t="s">
        <v>28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26</v>
      </c>
      <c r="D24" s="64" t="s">
        <v>97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29</v>
      </c>
      <c r="D25" s="64" t="s">
        <v>54</v>
      </c>
      <c r="E25" s="65"/>
      <c r="F25" s="65"/>
      <c r="G25" s="66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122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1" t="s">
        <v>101</v>
      </c>
      <c r="C9" s="92"/>
      <c r="D9" s="93"/>
      <c r="E9" s="11">
        <v>64774526.178892955</v>
      </c>
      <c r="F9" s="22" t="s">
        <v>2</v>
      </c>
      <c r="G9" s="19"/>
      <c r="H9" s="27"/>
      <c r="I9" s="1"/>
    </row>
    <row r="10" spans="1:9" x14ac:dyDescent="0.25">
      <c r="A10" s="1"/>
      <c r="B10" s="91" t="s">
        <v>102</v>
      </c>
      <c r="C10" s="92"/>
      <c r="D10" s="93"/>
      <c r="E10" s="11">
        <v>65744023</v>
      </c>
      <c r="F10" s="22" t="s">
        <v>2</v>
      </c>
      <c r="G10" s="14"/>
      <c r="H10" s="28"/>
      <c r="I10" s="1"/>
    </row>
    <row r="11" spans="1:9" x14ac:dyDescent="0.25">
      <c r="A11" s="1"/>
      <c r="B11" s="91" t="s">
        <v>108</v>
      </c>
      <c r="C11" s="92"/>
      <c r="D11" s="93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103</v>
      </c>
      <c r="C12" s="48"/>
      <c r="D12" s="49"/>
      <c r="E12" s="17">
        <f>E9-(E10-E11)</f>
        <v>-969496.82110704482</v>
      </c>
      <c r="F12" s="25" t="s">
        <v>2</v>
      </c>
      <c r="G12" s="17">
        <f>E12</f>
        <v>-969496.82110704482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113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4" t="s">
        <v>114</v>
      </c>
      <c r="C18" s="95"/>
      <c r="D18" s="96"/>
      <c r="E18" s="11">
        <f>IF(E12&lt;0,E12,0)</f>
        <v>-969496.82110704482</v>
      </c>
      <c r="F18" s="22" t="s">
        <v>2</v>
      </c>
      <c r="G18" s="14"/>
      <c r="H18" s="28"/>
      <c r="I18" s="1"/>
    </row>
    <row r="19" spans="1:9" x14ac:dyDescent="0.25">
      <c r="A19" s="1"/>
      <c r="B19" s="94" t="s">
        <v>109</v>
      </c>
      <c r="C19" s="95"/>
      <c r="D19" s="9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4" t="s">
        <v>115</v>
      </c>
      <c r="C20" s="95"/>
      <c r="D20" s="96"/>
      <c r="E20" s="11">
        <f>E18/E19</f>
        <v>-484748.41055352241</v>
      </c>
      <c r="F20" s="22" t="s">
        <v>2</v>
      </c>
      <c r="G20" s="14"/>
      <c r="H20" s="28"/>
      <c r="I20" s="1"/>
    </row>
    <row r="21" spans="1:9" x14ac:dyDescent="0.25">
      <c r="A21" s="1"/>
      <c r="B21" s="87" t="s">
        <v>110</v>
      </c>
      <c r="C21" s="88"/>
      <c r="D21" s="88"/>
      <c r="E21" s="88"/>
      <c r="F21" s="89"/>
      <c r="G21" s="20">
        <f>E20</f>
        <v>-484748.41055352241</v>
      </c>
      <c r="H21" s="21" t="s">
        <v>2</v>
      </c>
      <c r="I21" s="1"/>
    </row>
    <row r="22" spans="1:9" x14ac:dyDescent="0.25">
      <c r="A22" s="1"/>
      <c r="B22" s="87" t="s">
        <v>111</v>
      </c>
      <c r="C22" s="88"/>
      <c r="D22" s="88"/>
      <c r="E22" s="88"/>
      <c r="F22" s="89"/>
      <c r="G22" s="20">
        <f>G21*(1+Prisudvikling2019)^3</f>
        <v>-509742.84173719119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8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126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123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8" t="s">
        <v>85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86</v>
      </c>
      <c r="H9" s="37"/>
      <c r="I9" s="1"/>
    </row>
    <row r="10" spans="1:9" ht="26.25" x14ac:dyDescent="0.25">
      <c r="A10" s="1"/>
      <c r="B10" s="102" t="s">
        <v>141</v>
      </c>
      <c r="C10" s="103">
        <v>30</v>
      </c>
      <c r="D10" s="11">
        <v>18515</v>
      </c>
      <c r="E10" s="11">
        <f>D10/C10</f>
        <v>617.16666666666663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102" t="s">
        <v>142</v>
      </c>
      <c r="C11" s="103">
        <v>20</v>
      </c>
      <c r="D11" s="11">
        <v>205086.98</v>
      </c>
      <c r="E11" s="11">
        <f t="shared" ref="E11:E50" si="0">D11/C11</f>
        <v>10254.349</v>
      </c>
      <c r="F11" s="11">
        <v>0</v>
      </c>
      <c r="G11" s="11">
        <v>0</v>
      </c>
      <c r="H11" s="22" t="s">
        <v>2</v>
      </c>
      <c r="I11" s="1"/>
    </row>
    <row r="12" spans="1:9" ht="39" x14ac:dyDescent="0.25">
      <c r="A12" s="1"/>
      <c r="B12" s="102" t="s">
        <v>143</v>
      </c>
      <c r="C12" s="103">
        <v>50</v>
      </c>
      <c r="D12" s="11">
        <v>103130.27</v>
      </c>
      <c r="E12" s="11">
        <f t="shared" si="0"/>
        <v>2062.6053999999999</v>
      </c>
      <c r="F12" s="11">
        <v>0</v>
      </c>
      <c r="G12" s="11">
        <v>0</v>
      </c>
      <c r="H12" s="22" t="s">
        <v>2</v>
      </c>
      <c r="I12" s="1"/>
    </row>
    <row r="13" spans="1:9" ht="39" x14ac:dyDescent="0.25">
      <c r="A13" s="1"/>
      <c r="B13" s="102" t="s">
        <v>144</v>
      </c>
      <c r="C13" s="103">
        <v>20</v>
      </c>
      <c r="D13" s="11">
        <v>316384.88</v>
      </c>
      <c r="E13" s="11">
        <f t="shared" si="0"/>
        <v>15819.244000000001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102" t="s">
        <v>145</v>
      </c>
      <c r="C14" s="103">
        <v>10</v>
      </c>
      <c r="D14" s="11">
        <v>15874.46</v>
      </c>
      <c r="E14" s="11">
        <f t="shared" si="0"/>
        <v>1587.4459999999999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102" t="s">
        <v>146</v>
      </c>
      <c r="C15" s="103">
        <v>75</v>
      </c>
      <c r="D15" s="11">
        <v>2287648.56</v>
      </c>
      <c r="E15" s="11">
        <f t="shared" si="0"/>
        <v>30501.980800000001</v>
      </c>
      <c r="F15" s="11">
        <v>0</v>
      </c>
      <c r="G15" s="11">
        <v>0</v>
      </c>
      <c r="H15" s="22" t="s">
        <v>2</v>
      </c>
      <c r="I15" s="1"/>
    </row>
    <row r="16" spans="1:9" x14ac:dyDescent="0.25">
      <c r="A16" s="1"/>
      <c r="B16" s="102" t="s">
        <v>147</v>
      </c>
      <c r="C16" s="103">
        <v>75</v>
      </c>
      <c r="D16" s="11">
        <v>291998.05</v>
      </c>
      <c r="E16" s="11">
        <f t="shared" si="0"/>
        <v>3893.3073333333332</v>
      </c>
      <c r="F16" s="11">
        <v>0</v>
      </c>
      <c r="G16" s="11">
        <v>0</v>
      </c>
      <c r="H16" s="22" t="s">
        <v>2</v>
      </c>
      <c r="I16" s="1"/>
    </row>
    <row r="17" spans="1:9" x14ac:dyDescent="0.25">
      <c r="A17" s="1"/>
      <c r="B17" s="102" t="s">
        <v>148</v>
      </c>
      <c r="C17" s="103">
        <v>75</v>
      </c>
      <c r="D17" s="11">
        <v>40000</v>
      </c>
      <c r="E17" s="11">
        <f t="shared" si="0"/>
        <v>533.33333333333337</v>
      </c>
      <c r="F17" s="11">
        <v>0</v>
      </c>
      <c r="G17" s="11">
        <v>0</v>
      </c>
      <c r="H17" s="22" t="s">
        <v>2</v>
      </c>
      <c r="I17" s="1"/>
    </row>
    <row r="18" spans="1:9" x14ac:dyDescent="0.25">
      <c r="A18" s="1"/>
      <c r="B18" s="102" t="s">
        <v>149</v>
      </c>
      <c r="C18" s="103">
        <v>75</v>
      </c>
      <c r="D18" s="11">
        <v>1206861.95</v>
      </c>
      <c r="E18" s="11">
        <f t="shared" si="0"/>
        <v>16091.492666666665</v>
      </c>
      <c r="F18" s="11">
        <v>0</v>
      </c>
      <c r="G18" s="11">
        <v>0</v>
      </c>
      <c r="H18" s="22" t="s">
        <v>2</v>
      </c>
      <c r="I18" s="1"/>
    </row>
    <row r="19" spans="1:9" x14ac:dyDescent="0.25">
      <c r="A19" s="1"/>
      <c r="B19" s="102" t="s">
        <v>147</v>
      </c>
      <c r="C19" s="103">
        <v>75</v>
      </c>
      <c r="D19" s="11">
        <v>395241.47</v>
      </c>
      <c r="E19" s="11">
        <f t="shared" si="0"/>
        <v>5269.8862666666664</v>
      </c>
      <c r="F19" s="11">
        <v>0</v>
      </c>
      <c r="G19" s="11">
        <v>0</v>
      </c>
      <c r="H19" s="22" t="s">
        <v>2</v>
      </c>
      <c r="I19" s="1"/>
    </row>
    <row r="20" spans="1:9" x14ac:dyDescent="0.25">
      <c r="A20" s="1"/>
      <c r="B20" s="102" t="s">
        <v>148</v>
      </c>
      <c r="C20" s="103">
        <v>75</v>
      </c>
      <c r="D20" s="11">
        <v>409756.91</v>
      </c>
      <c r="E20" s="11">
        <f t="shared" si="0"/>
        <v>5463.4254666666666</v>
      </c>
      <c r="F20" s="11">
        <v>0</v>
      </c>
      <c r="G20" s="11">
        <v>0</v>
      </c>
      <c r="H20" s="22" t="s">
        <v>2</v>
      </c>
      <c r="I20" s="1"/>
    </row>
    <row r="21" spans="1:9" ht="26.25" x14ac:dyDescent="0.25">
      <c r="A21" s="1"/>
      <c r="B21" s="102" t="s">
        <v>146</v>
      </c>
      <c r="C21" s="103">
        <v>75</v>
      </c>
      <c r="D21" s="11">
        <v>1111852.3899999999</v>
      </c>
      <c r="E21" s="11">
        <f t="shared" si="0"/>
        <v>14824.698533333332</v>
      </c>
      <c r="F21" s="11">
        <v>0</v>
      </c>
      <c r="G21" s="11">
        <v>0</v>
      </c>
      <c r="H21" s="22" t="s">
        <v>2</v>
      </c>
      <c r="I21" s="1"/>
    </row>
    <row r="22" spans="1:9" ht="26.25" x14ac:dyDescent="0.25">
      <c r="A22" s="1"/>
      <c r="B22" s="102" t="s">
        <v>150</v>
      </c>
      <c r="C22" s="103">
        <v>75</v>
      </c>
      <c r="D22" s="11">
        <v>266755.64</v>
      </c>
      <c r="E22" s="11">
        <f t="shared" si="0"/>
        <v>3556.7418666666667</v>
      </c>
      <c r="F22" s="11">
        <v>0</v>
      </c>
      <c r="G22" s="11">
        <v>0</v>
      </c>
      <c r="H22" s="22" t="s">
        <v>2</v>
      </c>
      <c r="I22" s="1"/>
    </row>
    <row r="23" spans="1:9" x14ac:dyDescent="0.25">
      <c r="A23" s="1"/>
      <c r="B23" s="102" t="s">
        <v>151</v>
      </c>
      <c r="C23" s="103">
        <v>50</v>
      </c>
      <c r="D23" s="11">
        <v>76498.820000000007</v>
      </c>
      <c r="E23" s="11">
        <f t="shared" si="0"/>
        <v>1529.9764000000002</v>
      </c>
      <c r="F23" s="11">
        <v>0</v>
      </c>
      <c r="G23" s="11">
        <v>0</v>
      </c>
      <c r="H23" s="22" t="s">
        <v>2</v>
      </c>
      <c r="I23" s="1"/>
    </row>
    <row r="24" spans="1:9" x14ac:dyDescent="0.25">
      <c r="A24" s="1"/>
      <c r="B24" s="102" t="s">
        <v>147</v>
      </c>
      <c r="C24" s="103">
        <v>75</v>
      </c>
      <c r="D24" s="11">
        <v>182291.21</v>
      </c>
      <c r="E24" s="11">
        <f t="shared" si="0"/>
        <v>2430.5494666666664</v>
      </c>
      <c r="F24" s="11">
        <v>0</v>
      </c>
      <c r="G24" s="11">
        <v>0</v>
      </c>
      <c r="H24" s="22" t="s">
        <v>2</v>
      </c>
      <c r="I24" s="1"/>
    </row>
    <row r="25" spans="1:9" x14ac:dyDescent="0.25">
      <c r="A25" s="1"/>
      <c r="B25" s="102" t="s">
        <v>148</v>
      </c>
      <c r="C25" s="103">
        <v>75</v>
      </c>
      <c r="D25" s="11">
        <v>371280.19</v>
      </c>
      <c r="E25" s="11">
        <f t="shared" si="0"/>
        <v>4950.4025333333329</v>
      </c>
      <c r="F25" s="11">
        <v>0</v>
      </c>
      <c r="G25" s="11">
        <v>0</v>
      </c>
      <c r="H25" s="22" t="s">
        <v>2</v>
      </c>
      <c r="I25" s="1"/>
    </row>
    <row r="26" spans="1:9" ht="26.25" x14ac:dyDescent="0.25">
      <c r="A26" s="1"/>
      <c r="B26" s="102" t="s">
        <v>152</v>
      </c>
      <c r="C26" s="103">
        <v>50</v>
      </c>
      <c r="D26" s="11">
        <v>110895.74</v>
      </c>
      <c r="E26" s="11">
        <f t="shared" si="0"/>
        <v>2217.9148</v>
      </c>
      <c r="F26" s="11">
        <v>0</v>
      </c>
      <c r="G26" s="11">
        <v>0</v>
      </c>
      <c r="H26" s="22" t="s">
        <v>2</v>
      </c>
      <c r="I26" s="1"/>
    </row>
    <row r="27" spans="1:9" ht="26.25" x14ac:dyDescent="0.25">
      <c r="A27" s="1"/>
      <c r="B27" s="102" t="s">
        <v>142</v>
      </c>
      <c r="C27" s="103">
        <v>20</v>
      </c>
      <c r="D27" s="11">
        <v>13550</v>
      </c>
      <c r="E27" s="11">
        <f t="shared" si="0"/>
        <v>677.5</v>
      </c>
      <c r="F27" s="11">
        <v>0</v>
      </c>
      <c r="G27" s="11">
        <v>0</v>
      </c>
      <c r="H27" s="22" t="s">
        <v>2</v>
      </c>
      <c r="I27" s="1"/>
    </row>
    <row r="28" spans="1:9" x14ac:dyDescent="0.25">
      <c r="A28" s="1"/>
      <c r="B28" s="102" t="s">
        <v>149</v>
      </c>
      <c r="C28" s="103">
        <v>75</v>
      </c>
      <c r="D28" s="11">
        <v>5313776.95</v>
      </c>
      <c r="E28" s="11">
        <f t="shared" si="0"/>
        <v>70850.359333333341</v>
      </c>
      <c r="F28" s="11">
        <v>0</v>
      </c>
      <c r="G28" s="11">
        <v>0</v>
      </c>
      <c r="H28" s="22" t="s">
        <v>2</v>
      </c>
      <c r="I28" s="1"/>
    </row>
    <row r="29" spans="1:9" ht="26.25" x14ac:dyDescent="0.25">
      <c r="A29" s="1"/>
      <c r="B29" s="102" t="s">
        <v>146</v>
      </c>
      <c r="C29" s="103">
        <v>75</v>
      </c>
      <c r="D29" s="11">
        <v>509423.39</v>
      </c>
      <c r="E29" s="11">
        <f t="shared" si="0"/>
        <v>6792.3118666666669</v>
      </c>
      <c r="F29" s="11">
        <v>0</v>
      </c>
      <c r="G29" s="11">
        <v>0</v>
      </c>
      <c r="H29" s="22" t="s">
        <v>2</v>
      </c>
      <c r="I29" s="1"/>
    </row>
    <row r="30" spans="1:9" ht="26.25" x14ac:dyDescent="0.25">
      <c r="A30" s="1"/>
      <c r="B30" s="102" t="s">
        <v>153</v>
      </c>
      <c r="C30" s="103">
        <v>75</v>
      </c>
      <c r="D30" s="11">
        <v>2425847.3199999998</v>
      </c>
      <c r="E30" s="11">
        <f t="shared" si="0"/>
        <v>32344.63093333333</v>
      </c>
      <c r="F30" s="11">
        <v>0</v>
      </c>
      <c r="G30" s="11">
        <v>0</v>
      </c>
      <c r="H30" s="22" t="s">
        <v>2</v>
      </c>
      <c r="I30" s="1"/>
    </row>
    <row r="31" spans="1:9" ht="26.25" x14ac:dyDescent="0.25">
      <c r="A31" s="1"/>
      <c r="B31" s="102" t="s">
        <v>154</v>
      </c>
      <c r="C31" s="103">
        <v>75</v>
      </c>
      <c r="D31" s="11">
        <v>1835721.69</v>
      </c>
      <c r="E31" s="11">
        <f t="shared" si="0"/>
        <v>24476.289199999999</v>
      </c>
      <c r="F31" s="11">
        <v>0</v>
      </c>
      <c r="G31" s="11">
        <v>0</v>
      </c>
      <c r="H31" s="22" t="s">
        <v>2</v>
      </c>
      <c r="I31" s="1"/>
    </row>
    <row r="32" spans="1:9" x14ac:dyDescent="0.25">
      <c r="A32" s="1"/>
      <c r="B32" s="102" t="s">
        <v>147</v>
      </c>
      <c r="C32" s="103">
        <v>75</v>
      </c>
      <c r="D32" s="11">
        <v>1194173.6299999999</v>
      </c>
      <c r="E32" s="11">
        <f t="shared" si="0"/>
        <v>15922.315066666664</v>
      </c>
      <c r="F32" s="11">
        <v>0</v>
      </c>
      <c r="G32" s="11">
        <v>0</v>
      </c>
      <c r="H32" s="22" t="s">
        <v>2</v>
      </c>
      <c r="I32" s="1"/>
    </row>
    <row r="33" spans="1:9" x14ac:dyDescent="0.25">
      <c r="A33" s="1"/>
      <c r="B33" s="102" t="s">
        <v>148</v>
      </c>
      <c r="C33" s="103">
        <v>75</v>
      </c>
      <c r="D33" s="11">
        <v>993610</v>
      </c>
      <c r="E33" s="11">
        <f t="shared" si="0"/>
        <v>13248.133333333333</v>
      </c>
      <c r="F33" s="11">
        <v>0</v>
      </c>
      <c r="G33" s="11">
        <v>0</v>
      </c>
      <c r="H33" s="22" t="s">
        <v>2</v>
      </c>
      <c r="I33" s="1"/>
    </row>
    <row r="34" spans="1:9" x14ac:dyDescent="0.25">
      <c r="A34" s="1"/>
      <c r="B34" s="102" t="s">
        <v>149</v>
      </c>
      <c r="C34" s="103">
        <v>75</v>
      </c>
      <c r="D34" s="11">
        <v>75236.19</v>
      </c>
      <c r="E34" s="11">
        <f t="shared" si="0"/>
        <v>1003.1492000000001</v>
      </c>
      <c r="F34" s="11">
        <v>0</v>
      </c>
      <c r="G34" s="11">
        <v>0</v>
      </c>
      <c r="H34" s="22" t="s">
        <v>2</v>
      </c>
      <c r="I34" s="1"/>
    </row>
    <row r="35" spans="1:9" ht="26.25" x14ac:dyDescent="0.25">
      <c r="A35" s="1"/>
      <c r="B35" s="102" t="s">
        <v>146</v>
      </c>
      <c r="C35" s="103">
        <v>75</v>
      </c>
      <c r="D35" s="11">
        <v>75236.19</v>
      </c>
      <c r="E35" s="11">
        <f t="shared" si="0"/>
        <v>1003.1492000000001</v>
      </c>
      <c r="F35" s="11">
        <v>0</v>
      </c>
      <c r="G35" s="11">
        <v>0</v>
      </c>
      <c r="H35" s="22" t="s">
        <v>2</v>
      </c>
      <c r="I35" s="1"/>
    </row>
    <row r="36" spans="1:9" x14ac:dyDescent="0.25">
      <c r="A36" s="1"/>
      <c r="B36" s="102" t="s">
        <v>155</v>
      </c>
      <c r="C36" s="103">
        <v>5</v>
      </c>
      <c r="D36" s="11">
        <v>948092.5</v>
      </c>
      <c r="E36" s="11">
        <f t="shared" si="0"/>
        <v>189618.5</v>
      </c>
      <c r="F36" s="11">
        <v>0</v>
      </c>
      <c r="G36" s="11">
        <v>0</v>
      </c>
      <c r="H36" s="22" t="s">
        <v>2</v>
      </c>
      <c r="I36" s="1"/>
    </row>
    <row r="37" spans="1:9" ht="26.25" x14ac:dyDescent="0.25">
      <c r="A37" s="1"/>
      <c r="B37" s="102" t="s">
        <v>156</v>
      </c>
      <c r="C37" s="103">
        <v>75</v>
      </c>
      <c r="D37" s="11">
        <v>995822.31</v>
      </c>
      <c r="E37" s="11">
        <f t="shared" si="0"/>
        <v>13277.630800000001</v>
      </c>
      <c r="F37" s="11">
        <v>0</v>
      </c>
      <c r="G37" s="11">
        <v>0</v>
      </c>
      <c r="H37" s="22" t="s">
        <v>2</v>
      </c>
      <c r="I37" s="1"/>
    </row>
    <row r="38" spans="1:9" x14ac:dyDescent="0.25">
      <c r="A38" s="1"/>
      <c r="B38" s="102" t="s">
        <v>149</v>
      </c>
      <c r="C38" s="103">
        <v>75</v>
      </c>
      <c r="D38" s="11">
        <v>268754.69</v>
      </c>
      <c r="E38" s="11">
        <f t="shared" si="0"/>
        <v>3583.3958666666667</v>
      </c>
      <c r="F38" s="11">
        <v>0</v>
      </c>
      <c r="G38" s="11">
        <v>0</v>
      </c>
      <c r="H38" s="22" t="s">
        <v>2</v>
      </c>
      <c r="I38" s="1"/>
    </row>
    <row r="39" spans="1:9" ht="26.25" x14ac:dyDescent="0.25">
      <c r="A39" s="1"/>
      <c r="B39" s="102" t="s">
        <v>146</v>
      </c>
      <c r="C39" s="103">
        <v>75</v>
      </c>
      <c r="D39" s="11">
        <v>268754.69</v>
      </c>
      <c r="E39" s="11">
        <f t="shared" si="0"/>
        <v>3583.3958666666667</v>
      </c>
      <c r="F39" s="11">
        <v>0</v>
      </c>
      <c r="G39" s="11">
        <v>0</v>
      </c>
      <c r="H39" s="22" t="s">
        <v>2</v>
      </c>
      <c r="I39" s="1"/>
    </row>
    <row r="40" spans="1:9" ht="26.25" x14ac:dyDescent="0.25">
      <c r="A40" s="1"/>
      <c r="B40" s="102" t="s">
        <v>156</v>
      </c>
      <c r="C40" s="103">
        <v>75</v>
      </c>
      <c r="D40" s="11">
        <v>103825.24</v>
      </c>
      <c r="E40" s="11">
        <f t="shared" si="0"/>
        <v>1384.3365333333334</v>
      </c>
      <c r="F40" s="11">
        <v>0</v>
      </c>
      <c r="G40" s="11">
        <v>0</v>
      </c>
      <c r="H40" s="22" t="s">
        <v>2</v>
      </c>
      <c r="I40" s="1"/>
    </row>
    <row r="41" spans="1:9" x14ac:dyDescent="0.25">
      <c r="A41" s="1"/>
      <c r="B41" s="102" t="s">
        <v>149</v>
      </c>
      <c r="C41" s="103">
        <v>75</v>
      </c>
      <c r="D41" s="11">
        <v>638515.51</v>
      </c>
      <c r="E41" s="11">
        <f t="shared" si="0"/>
        <v>8513.5401333333339</v>
      </c>
      <c r="F41" s="11">
        <v>0</v>
      </c>
      <c r="G41" s="11">
        <v>0</v>
      </c>
      <c r="H41" s="22" t="s">
        <v>2</v>
      </c>
      <c r="I41" s="1"/>
    </row>
    <row r="42" spans="1:9" ht="26.25" x14ac:dyDescent="0.25">
      <c r="A42" s="1"/>
      <c r="B42" s="102" t="s">
        <v>146</v>
      </c>
      <c r="C42" s="103">
        <v>75</v>
      </c>
      <c r="D42" s="11">
        <v>1876186.87</v>
      </c>
      <c r="E42" s="11">
        <f t="shared" si="0"/>
        <v>25015.824933333333</v>
      </c>
      <c r="F42" s="11">
        <v>0</v>
      </c>
      <c r="G42" s="11">
        <v>0</v>
      </c>
      <c r="H42" s="22" t="s">
        <v>2</v>
      </c>
      <c r="I42" s="1"/>
    </row>
    <row r="43" spans="1:9" ht="26.25" x14ac:dyDescent="0.25">
      <c r="A43" s="1"/>
      <c r="B43" s="102" t="s">
        <v>150</v>
      </c>
      <c r="C43" s="103">
        <v>75</v>
      </c>
      <c r="D43" s="11">
        <v>4550158.45</v>
      </c>
      <c r="E43" s="11">
        <f t="shared" si="0"/>
        <v>60668.779333333339</v>
      </c>
      <c r="F43" s="11">
        <v>0</v>
      </c>
      <c r="G43" s="11">
        <v>0</v>
      </c>
      <c r="H43" s="22" t="s">
        <v>2</v>
      </c>
      <c r="I43" s="1"/>
    </row>
    <row r="44" spans="1:9" ht="26.25" x14ac:dyDescent="0.25">
      <c r="A44" s="1"/>
      <c r="B44" s="102" t="s">
        <v>153</v>
      </c>
      <c r="C44" s="103">
        <v>75</v>
      </c>
      <c r="D44" s="11">
        <v>2299188.35</v>
      </c>
      <c r="E44" s="11">
        <f t="shared" si="0"/>
        <v>30655.844666666668</v>
      </c>
      <c r="F44" s="11">
        <v>0</v>
      </c>
      <c r="G44" s="11">
        <v>0</v>
      </c>
      <c r="H44" s="22" t="s">
        <v>2</v>
      </c>
      <c r="I44" s="1"/>
    </row>
    <row r="45" spans="1:9" ht="26.25" x14ac:dyDescent="0.25">
      <c r="A45" s="1"/>
      <c r="B45" s="102" t="s">
        <v>157</v>
      </c>
      <c r="C45" s="103">
        <v>50</v>
      </c>
      <c r="D45" s="11">
        <v>1446015.28</v>
      </c>
      <c r="E45" s="11">
        <f t="shared" si="0"/>
        <v>28920.3056</v>
      </c>
      <c r="F45" s="11">
        <v>0</v>
      </c>
      <c r="G45" s="11">
        <v>0</v>
      </c>
      <c r="H45" s="22" t="s">
        <v>2</v>
      </c>
      <c r="I45" s="1"/>
    </row>
    <row r="46" spans="1:9" x14ac:dyDescent="0.25">
      <c r="A46" s="1"/>
      <c r="B46" s="102" t="s">
        <v>147</v>
      </c>
      <c r="C46" s="103">
        <v>75</v>
      </c>
      <c r="D46" s="11">
        <v>1180281.53</v>
      </c>
      <c r="E46" s="11">
        <f t="shared" si="0"/>
        <v>15737.087066666667</v>
      </c>
      <c r="F46" s="11">
        <v>0</v>
      </c>
      <c r="G46" s="11">
        <v>0</v>
      </c>
      <c r="H46" s="22" t="s">
        <v>2</v>
      </c>
      <c r="I46" s="1"/>
    </row>
    <row r="47" spans="1:9" x14ac:dyDescent="0.25">
      <c r="A47" s="1"/>
      <c r="B47" s="102" t="s">
        <v>148</v>
      </c>
      <c r="C47" s="103">
        <v>75</v>
      </c>
      <c r="D47" s="11">
        <v>884459.03</v>
      </c>
      <c r="E47" s="11">
        <f t="shared" si="0"/>
        <v>11792.787066666668</v>
      </c>
      <c r="F47" s="11">
        <v>0</v>
      </c>
      <c r="G47" s="11">
        <v>0</v>
      </c>
      <c r="H47" s="22" t="s">
        <v>2</v>
      </c>
      <c r="I47" s="1"/>
    </row>
    <row r="48" spans="1:9" x14ac:dyDescent="0.25">
      <c r="A48" s="1"/>
      <c r="B48" s="102" t="s">
        <v>149</v>
      </c>
      <c r="C48" s="103">
        <v>75</v>
      </c>
      <c r="D48" s="11">
        <v>217811.86</v>
      </c>
      <c r="E48" s="11">
        <f t="shared" si="0"/>
        <v>2904.1581333333334</v>
      </c>
      <c r="F48" s="11">
        <v>0</v>
      </c>
      <c r="G48" s="11">
        <v>0</v>
      </c>
      <c r="H48" s="22" t="s">
        <v>2</v>
      </c>
      <c r="I48" s="1"/>
    </row>
    <row r="49" spans="1:9" x14ac:dyDescent="0.25">
      <c r="A49" s="1"/>
      <c r="B49" s="102" t="s">
        <v>147</v>
      </c>
      <c r="C49" s="103">
        <v>75</v>
      </c>
      <c r="D49" s="11">
        <v>102001.69</v>
      </c>
      <c r="E49" s="11">
        <f>D49/C49</f>
        <v>1360.0225333333333</v>
      </c>
      <c r="F49" s="11">
        <v>0</v>
      </c>
      <c r="G49" s="11">
        <v>0</v>
      </c>
      <c r="H49" s="22" t="s">
        <v>2</v>
      </c>
      <c r="I49" s="1"/>
    </row>
    <row r="50" spans="1:9" x14ac:dyDescent="0.25">
      <c r="A50" s="1"/>
      <c r="B50" s="102" t="s">
        <v>148</v>
      </c>
      <c r="C50" s="103">
        <v>75</v>
      </c>
      <c r="D50" s="11">
        <v>46000</v>
      </c>
      <c r="E50" s="11">
        <f t="shared" si="0"/>
        <v>613.33333333333337</v>
      </c>
      <c r="F50" s="11">
        <v>0</v>
      </c>
      <c r="G50" s="11">
        <v>0</v>
      </c>
      <c r="H50" s="22" t="s">
        <v>2</v>
      </c>
      <c r="I50" s="1"/>
    </row>
    <row r="51" spans="1:9" x14ac:dyDescent="0.25">
      <c r="A51" s="1"/>
      <c r="B51" s="102" t="s">
        <v>149</v>
      </c>
      <c r="C51" s="103">
        <v>75</v>
      </c>
      <c r="D51" s="11">
        <v>1847855.24</v>
      </c>
      <c r="E51" s="11">
        <f t="shared" ref="E51:E52" si="1">D51/C51</f>
        <v>24638.069866666665</v>
      </c>
      <c r="F51" s="11">
        <v>0</v>
      </c>
      <c r="G51" s="11">
        <v>0</v>
      </c>
      <c r="H51" s="22" t="s">
        <v>2</v>
      </c>
      <c r="I51" s="1"/>
    </row>
    <row r="52" spans="1:9" ht="26.25" x14ac:dyDescent="0.25">
      <c r="A52" s="1"/>
      <c r="B52" s="102" t="s">
        <v>146</v>
      </c>
      <c r="C52" s="103">
        <v>75</v>
      </c>
      <c r="D52" s="11">
        <v>1847855.24</v>
      </c>
      <c r="E52" s="11">
        <f t="shared" si="1"/>
        <v>24638.069866666665</v>
      </c>
      <c r="F52" s="11">
        <v>0</v>
      </c>
      <c r="G52" s="11">
        <v>0</v>
      </c>
      <c r="H52" s="22" t="s">
        <v>2</v>
      </c>
      <c r="I52" s="1"/>
    </row>
    <row r="53" spans="1:9" x14ac:dyDescent="0.25">
      <c r="A53" s="1"/>
      <c r="B53" s="87" t="s">
        <v>127</v>
      </c>
      <c r="C53" s="88"/>
      <c r="D53" s="89"/>
      <c r="E53" s="20">
        <f>SUM(E10:E52)</f>
        <v>734827.44026666682</v>
      </c>
      <c r="F53" s="20">
        <f>SUM(F10:F52)</f>
        <v>0</v>
      </c>
      <c r="G53" s="20">
        <f>SUM(G10:G52)</f>
        <v>0</v>
      </c>
      <c r="H53" s="21" t="s">
        <v>2</v>
      </c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</sheetData>
  <sheetProtection password="DFE9" sheet="1" objects="1" scenarios="1"/>
  <mergeCells count="3">
    <mergeCell ref="B3:H4"/>
    <mergeCell ref="B8:H8"/>
    <mergeCell ref="B53:D53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117</v>
      </c>
      <c r="C3" s="85"/>
      <c r="D3" s="85"/>
      <c r="E3" s="85"/>
      <c r="F3" s="85"/>
      <c r="G3" s="85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8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106</v>
      </c>
      <c r="G9" s="37"/>
      <c r="H9" s="1"/>
    </row>
    <row r="10" spans="1:8" x14ac:dyDescent="0.25">
      <c r="A10" s="1"/>
      <c r="B10" s="58" t="s">
        <v>123</v>
      </c>
      <c r="C10" s="59"/>
      <c r="D10" s="60">
        <f>'Fane 8. Anlægsprojekter'!F53</f>
        <v>0</v>
      </c>
      <c r="E10" s="22" t="s">
        <v>2</v>
      </c>
      <c r="F10" s="11">
        <f>SUM('Fane 8. Anlægsprojekter'!E53,'Fane 8. Anlægsprojekter'!G53)</f>
        <v>734827.44026666682</v>
      </c>
      <c r="G10" s="22" t="s">
        <v>2</v>
      </c>
      <c r="H10" s="1"/>
    </row>
    <row r="11" spans="1:8" x14ac:dyDescent="0.25">
      <c r="A11" s="1"/>
      <c r="B11" s="104" t="s">
        <v>73</v>
      </c>
      <c r="C11" s="105"/>
      <c r="D11" s="60">
        <v>113849</v>
      </c>
      <c r="E11" s="22" t="s">
        <v>2</v>
      </c>
      <c r="F11" s="11">
        <v>0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113849</v>
      </c>
      <c r="E12" s="21" t="s">
        <v>2</v>
      </c>
      <c r="F12" s="20">
        <f>SUM(F10:F11)</f>
        <v>734827.44026666682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115773.04809999999</v>
      </c>
      <c r="E13" s="21" t="s">
        <v>2</v>
      </c>
      <c r="F13" s="20">
        <f>F12*(1+Prisudvikling2019)</f>
        <v>747246.02400717337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139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106</v>
      </c>
      <c r="G9" s="37"/>
      <c r="H9" s="1"/>
    </row>
    <row r="10" spans="1:8" x14ac:dyDescent="0.25">
      <c r="A10" s="1"/>
      <c r="B10" s="58" t="s">
        <v>134</v>
      </c>
      <c r="C10" s="106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140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105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1.0806561134100755E-3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showGridLines="0" view="pageLayout" zoomScaleNormal="100" workbookViewId="0"/>
  </sheetViews>
  <sheetFormatPr defaultColWidth="9.140625" defaultRowHeight="15" x14ac:dyDescent="0.25"/>
  <cols>
    <col min="1" max="1" width="5.5703125" style="2" customWidth="1"/>
    <col min="2" max="2" width="46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5" t="s">
        <v>41</v>
      </c>
      <c r="C3" s="85"/>
      <c r="D3" s="85"/>
      <c r="E3" s="85"/>
      <c r="F3" s="85"/>
      <c r="G3" s="1"/>
      <c r="I3" s="36"/>
    </row>
    <row r="4" spans="1:9" ht="15" customHeight="1" x14ac:dyDescent="0.25">
      <c r="A4" s="1"/>
      <c r="B4" s="85"/>
      <c r="C4" s="85"/>
      <c r="D4" s="85"/>
      <c r="E4" s="85"/>
      <c r="F4" s="85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65216749.86553809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115773.04809999999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747246.02400717337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1155878.1449655278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-72658.613058905656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-304587.19704849157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-914434.75775273098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65943966.514750652</v>
      </c>
      <c r="D18" s="18" t="s">
        <v>2</v>
      </c>
      <c r="E18" s="17">
        <f>C18</f>
        <v>65943966.514750652</v>
      </c>
      <c r="F18" s="18" t="s">
        <v>2</v>
      </c>
      <c r="G18" s="1"/>
    </row>
    <row r="19" spans="1:7" ht="15" customHeight="1" x14ac:dyDescent="0.25">
      <c r="A19" s="1"/>
      <c r="B19" s="39" t="s">
        <v>73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129</v>
      </c>
      <c r="C20" s="11">
        <v>1765949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130</v>
      </c>
      <c r="C21" s="11">
        <f>-(C20*(GenereltKravDrift2019+IndividueltKrav))</f>
        <v>-37227.363582820413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47" t="s">
        <v>131</v>
      </c>
      <c r="C22" s="17">
        <f>SUM(C20:C21)</f>
        <v>1728721.6364171796</v>
      </c>
      <c r="D22" s="18" t="s">
        <v>2</v>
      </c>
      <c r="E22" s="17">
        <f>C22</f>
        <v>1728721.6364171796</v>
      </c>
      <c r="F22" s="18" t="s">
        <v>2</v>
      </c>
      <c r="G22" s="1"/>
    </row>
    <row r="23" spans="1:7" ht="15" customHeight="1" x14ac:dyDescent="0.25">
      <c r="A23" s="1"/>
      <c r="B23" s="50" t="s">
        <v>132</v>
      </c>
      <c r="C23" s="11"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46" t="s">
        <v>130</v>
      </c>
      <c r="C24" s="11">
        <f>-(C23*(GenereltKravDrift2018+IndividueltKrav))</f>
        <v>0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7" t="s">
        <v>133</v>
      </c>
      <c r="C25" s="17">
        <f>SUM(C23:C24)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ht="15" customHeight="1" x14ac:dyDescent="0.25">
      <c r="A26" s="1"/>
      <c r="B26" s="39" t="s">
        <v>22</v>
      </c>
      <c r="C26" s="40"/>
      <c r="D26" s="40"/>
      <c r="E26" s="40"/>
      <c r="F26" s="41"/>
      <c r="G26" s="1"/>
    </row>
    <row r="27" spans="1:7" ht="15" customHeight="1" x14ac:dyDescent="0.25">
      <c r="A27" s="1"/>
      <c r="B27" s="46" t="s">
        <v>22</v>
      </c>
      <c r="C27" s="11">
        <f>'Fane 4. Ikke-påvirkelige omk.'!E15</f>
        <v>791280.24060077977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46" t="s">
        <v>75</v>
      </c>
      <c r="C28" s="11">
        <v>0</v>
      </c>
      <c r="D28" s="8" t="s">
        <v>2</v>
      </c>
      <c r="E28" s="12"/>
      <c r="F28" s="13"/>
      <c r="G28" s="1"/>
    </row>
    <row r="29" spans="1:7" ht="15" customHeight="1" x14ac:dyDescent="0.25">
      <c r="A29" s="1"/>
      <c r="B29" s="29" t="s">
        <v>76</v>
      </c>
      <c r="C29" s="17">
        <f>SUM(C27:C28)</f>
        <v>791280.24060077977</v>
      </c>
      <c r="D29" s="18" t="s">
        <v>2</v>
      </c>
      <c r="E29" s="17">
        <f>C29</f>
        <v>791280.24060077977</v>
      </c>
      <c r="F29" s="18" t="s">
        <v>2</v>
      </c>
      <c r="G29" s="1"/>
    </row>
    <row r="30" spans="1:7" ht="28.5" customHeight="1" x14ac:dyDescent="0.25">
      <c r="A30" s="1"/>
      <c r="B30" s="39" t="s">
        <v>50</v>
      </c>
      <c r="C30" s="40"/>
      <c r="D30" s="40"/>
      <c r="E30" s="40"/>
      <c r="F30" s="41"/>
      <c r="G30" s="1"/>
    </row>
    <row r="31" spans="1:7" ht="15" customHeight="1" x14ac:dyDescent="0.25">
      <c r="A31" s="1"/>
      <c r="B31" s="45" t="s">
        <v>77</v>
      </c>
      <c r="C31" s="7">
        <v>0</v>
      </c>
      <c r="D31" s="8" t="s">
        <v>2</v>
      </c>
      <c r="E31" s="33"/>
      <c r="F31" s="13"/>
      <c r="G31" s="1"/>
    </row>
    <row r="32" spans="1:7" x14ac:dyDescent="0.25">
      <c r="A32" s="1"/>
      <c r="B32" s="45" t="s">
        <v>51</v>
      </c>
      <c r="C32" s="7">
        <v>0</v>
      </c>
      <c r="D32" s="8" t="s">
        <v>2</v>
      </c>
      <c r="E32" s="32"/>
      <c r="F32" s="13"/>
      <c r="G32" s="1"/>
    </row>
    <row r="33" spans="1:7" ht="15" customHeight="1" x14ac:dyDescent="0.25">
      <c r="A33" s="1"/>
      <c r="B33" s="46" t="s">
        <v>52</v>
      </c>
      <c r="C33" s="7">
        <v>5459.3937591341864</v>
      </c>
      <c r="D33" s="8" t="s">
        <v>2</v>
      </c>
      <c r="E33" s="32"/>
      <c r="F33" s="13"/>
      <c r="G33" s="1"/>
    </row>
    <row r="34" spans="1:7" x14ac:dyDescent="0.25">
      <c r="A34" s="1"/>
      <c r="B34" s="47" t="s">
        <v>53</v>
      </c>
      <c r="C34" s="17">
        <f>SUM(C31:C33)</f>
        <v>5459.3937591341864</v>
      </c>
      <c r="D34" s="18" t="s">
        <v>2</v>
      </c>
      <c r="E34" s="17">
        <f>C34</f>
        <v>5459.3937591341864</v>
      </c>
      <c r="F34" s="18" t="s">
        <v>2</v>
      </c>
      <c r="G34" s="1"/>
    </row>
    <row r="35" spans="1:7" x14ac:dyDescent="0.25">
      <c r="A35" s="1"/>
      <c r="B35" s="39" t="s">
        <v>15</v>
      </c>
      <c r="C35" s="40"/>
      <c r="D35" s="40"/>
      <c r="E35" s="40"/>
      <c r="F35" s="41"/>
      <c r="G35" s="1"/>
    </row>
    <row r="36" spans="1:7" x14ac:dyDescent="0.25">
      <c r="A36" s="1"/>
      <c r="B36" s="47" t="s">
        <v>24</v>
      </c>
      <c r="C36" s="17">
        <f>'Fane 6. Hist. over el. underdæk'!G13</f>
        <v>0</v>
      </c>
      <c r="D36" s="18" t="s">
        <v>2</v>
      </c>
      <c r="E36" s="17">
        <f>C36</f>
        <v>0</v>
      </c>
      <c r="F36" s="18" t="s">
        <v>2</v>
      </c>
      <c r="G36" s="1"/>
    </row>
    <row r="37" spans="1:7" x14ac:dyDescent="0.25">
      <c r="A37" s="1"/>
      <c r="B37" s="39" t="s">
        <v>33</v>
      </c>
      <c r="C37" s="40"/>
      <c r="D37" s="41"/>
      <c r="E37" s="20">
        <f>SUM(E18,E25,E29,E34,E36,E22)</f>
        <v>68469427.785527736</v>
      </c>
      <c r="F37" s="21" t="s">
        <v>2</v>
      </c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285156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42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7" t="s">
        <v>25</v>
      </c>
      <c r="C8" s="88"/>
      <c r="D8" s="88"/>
      <c r="E8" s="88"/>
      <c r="F8" s="89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65943966.514750652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1114453.034099286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-72467.091041082414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-303540.02626503888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-448973.9080889122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66233438.523454905</v>
      </c>
      <c r="D14" s="18" t="s">
        <v>2</v>
      </c>
      <c r="E14" s="17">
        <f>C14</f>
        <v>66233438.523454905</v>
      </c>
      <c r="F14" s="18" t="s">
        <v>2</v>
      </c>
      <c r="G14" s="1"/>
    </row>
    <row r="15" spans="1:7" ht="15" customHeight="1" x14ac:dyDescent="0.25">
      <c r="A15" s="1"/>
      <c r="B15" s="87" t="s">
        <v>73</v>
      </c>
      <c r="C15" s="88"/>
      <c r="D15" s="88"/>
      <c r="E15" s="88"/>
      <c r="F15" s="89"/>
      <c r="G15" s="1"/>
    </row>
    <row r="16" spans="1:7" x14ac:dyDescent="0.25">
      <c r="A16" s="1"/>
      <c r="B16" s="50" t="s">
        <v>132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130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133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ht="15" customHeight="1" x14ac:dyDescent="0.25">
      <c r="A19" s="1"/>
      <c r="B19" s="87" t="s">
        <v>22</v>
      </c>
      <c r="C19" s="88"/>
      <c r="D19" s="88"/>
      <c r="E19" s="88"/>
      <c r="F19" s="89"/>
      <c r="G19" s="1"/>
    </row>
    <row r="20" spans="1:7" x14ac:dyDescent="0.25">
      <c r="A20" s="1"/>
      <c r="B20" s="46" t="s">
        <v>22</v>
      </c>
      <c r="C20" s="11">
        <f>'Fane 4. Ikke-påvirkelige omk.'!E15*(1+Prisudvikling2019)</f>
        <v>804652.87666693283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75</v>
      </c>
      <c r="C21" s="11">
        <v>0</v>
      </c>
      <c r="D21" s="8" t="s">
        <v>2</v>
      </c>
      <c r="E21" s="14"/>
      <c r="F21" s="13"/>
      <c r="G21" s="1"/>
    </row>
    <row r="22" spans="1:7" x14ac:dyDescent="0.25">
      <c r="A22" s="1"/>
      <c r="B22" s="29" t="s">
        <v>76</v>
      </c>
      <c r="C22" s="17">
        <f>SUM(C20:C21)</f>
        <v>804652.87666693283</v>
      </c>
      <c r="D22" s="18" t="s">
        <v>2</v>
      </c>
      <c r="E22" s="17">
        <f>C22</f>
        <v>804652.87666693283</v>
      </c>
      <c r="F22" s="18" t="s">
        <v>2</v>
      </c>
      <c r="G22" s="1"/>
    </row>
    <row r="23" spans="1:7" ht="15" customHeight="1" x14ac:dyDescent="0.25">
      <c r="A23" s="1"/>
      <c r="B23" s="87" t="s">
        <v>15</v>
      </c>
      <c r="C23" s="88"/>
      <c r="D23" s="88"/>
      <c r="E23" s="88"/>
      <c r="F23" s="89"/>
      <c r="G23" s="1"/>
    </row>
    <row r="24" spans="1:7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7" t="s">
        <v>112</v>
      </c>
      <c r="C25" s="88"/>
      <c r="D25" s="88"/>
      <c r="E25" s="88"/>
      <c r="F25" s="89"/>
      <c r="G25" s="1"/>
    </row>
    <row r="26" spans="1:7" x14ac:dyDescent="0.25">
      <c r="A26" s="1"/>
      <c r="B26" s="29" t="s">
        <v>104</v>
      </c>
      <c r="C26" s="17">
        <f>'Fane 7. Kontrol af ØR2017'!G22</f>
        <v>-509742.84173719119</v>
      </c>
      <c r="D26" s="18" t="s">
        <v>2</v>
      </c>
      <c r="E26" s="17">
        <f>C26</f>
        <v>-509742.84173719119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66528348.558384649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6.57031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87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66233438.523454905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1119345.1110463878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-72785.19738980991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-302496.45565473969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-452589.48150153487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66524912.499955207</v>
      </c>
      <c r="D14" s="18" t="s">
        <v>2</v>
      </c>
      <c r="E14" s="17">
        <f>C14</f>
        <v>66524912.499955207</v>
      </c>
      <c r="F14" s="18" t="s">
        <v>2</v>
      </c>
      <c r="G14" s="1"/>
    </row>
    <row r="15" spans="1:7" x14ac:dyDescent="0.25">
      <c r="A15" s="1"/>
      <c r="B15" s="39" t="s">
        <v>73</v>
      </c>
      <c r="C15" s="40"/>
      <c r="D15" s="40"/>
      <c r="E15" s="40"/>
      <c r="F15" s="41"/>
      <c r="G15" s="1"/>
    </row>
    <row r="16" spans="1:7" ht="15" customHeight="1" x14ac:dyDescent="0.25">
      <c r="A16" s="1"/>
      <c r="B16" s="50" t="s">
        <v>132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130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133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818251.51028260391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75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76</v>
      </c>
      <c r="C22" s="17">
        <f>SUM(C20:C21)</f>
        <v>818251.51028260391</v>
      </c>
      <c r="D22" s="18" t="s">
        <v>2</v>
      </c>
      <c r="E22" s="17">
        <f>C22</f>
        <v>818251.51028260391</v>
      </c>
      <c r="F22" s="18" t="s">
        <v>2</v>
      </c>
      <c r="G22" s="1"/>
    </row>
    <row r="23" spans="1:7" ht="15" customHeight="1" x14ac:dyDescent="0.25">
      <c r="A23" s="1"/>
      <c r="B23" s="39" t="s">
        <v>112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104</v>
      </c>
      <c r="C24" s="17">
        <f>'Fane 2.2. Økonomisk ramme 2020'!C26*(1+Prisudvikling2019)</f>
        <v>-518357.49576254969</v>
      </c>
      <c r="D24" s="18" t="s">
        <v>2</v>
      </c>
      <c r="E24" s="17">
        <f>C24</f>
        <v>-518357.49576254969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66824806.514475264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6.57031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88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66524912.499955207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1124271.0212492428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-73105.503739389736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-301456.47284019866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-456234.17101838224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66818387.373606481</v>
      </c>
      <c r="D13" s="18" t="s">
        <v>2</v>
      </c>
      <c r="E13" s="17">
        <f>C13</f>
        <v>66818387.373606481</v>
      </c>
      <c r="F13" s="18" t="s">
        <v>2</v>
      </c>
      <c r="G13" s="1"/>
    </row>
    <row r="14" spans="1:7" x14ac:dyDescent="0.25">
      <c r="A14" s="1"/>
      <c r="B14" s="39" t="s">
        <v>73</v>
      </c>
      <c r="C14" s="40"/>
      <c r="D14" s="40"/>
      <c r="E14" s="40"/>
      <c r="F14" s="41"/>
      <c r="G14" s="1"/>
    </row>
    <row r="15" spans="1:7" ht="15" customHeight="1" x14ac:dyDescent="0.25">
      <c r="A15" s="1"/>
      <c r="B15" s="50" t="s">
        <v>132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130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7" t="s">
        <v>133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832079.96080637979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75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76</v>
      </c>
      <c r="C21" s="17">
        <f>SUM(C19:C20)</f>
        <v>832079.96080637979</v>
      </c>
      <c r="D21" s="18" t="s">
        <v>2</v>
      </c>
      <c r="E21" s="17">
        <f>C21</f>
        <v>832079.96080637979</v>
      </c>
      <c r="F21" s="18" t="s">
        <v>2</v>
      </c>
      <c r="G21" s="1"/>
    </row>
    <row r="22" spans="1:7" x14ac:dyDescent="0.25">
      <c r="A22" s="1"/>
      <c r="B22" s="39" t="s">
        <v>74</v>
      </c>
      <c r="C22" s="40"/>
      <c r="D22" s="41"/>
      <c r="E22" s="20">
        <f>SUM(E13,E17,E21)</f>
        <v>67650467.334412858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89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67928874.115539879</v>
      </c>
      <c r="H9" s="22" t="s">
        <v>2</v>
      </c>
      <c r="I9" s="1"/>
    </row>
    <row r="10" spans="1:9" x14ac:dyDescent="0.25">
      <c r="A10" s="1"/>
      <c r="B10" s="50" t="s">
        <v>158</v>
      </c>
      <c r="C10" s="43"/>
      <c r="D10" s="43"/>
      <c r="E10" s="43"/>
      <c r="F10" s="44"/>
      <c r="G10" s="11">
        <v>1235787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1476337.2500017905</v>
      </c>
      <c r="H11" s="22" t="s">
        <v>2</v>
      </c>
      <c r="I11" s="1"/>
    </row>
    <row r="12" spans="1:9" ht="26.25" x14ac:dyDescent="0.25">
      <c r="A12" s="1"/>
      <c r="B12" s="46" t="s">
        <v>159</v>
      </c>
      <c r="C12" s="43"/>
      <c r="D12" s="43"/>
      <c r="E12" s="43"/>
      <c r="F12" s="44"/>
      <c r="G12" s="11">
        <v>1266685.9772125001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65216749.86553809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98</v>
      </c>
      <c r="C3" s="85"/>
      <c r="D3" s="85"/>
      <c r="E3" s="85"/>
      <c r="F3" s="85"/>
      <c r="G3" s="1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107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135</v>
      </c>
      <c r="C10" s="97"/>
      <c r="D10" s="98"/>
      <c r="E10" s="11">
        <v>46581</v>
      </c>
      <c r="F10" s="22" t="s">
        <v>2</v>
      </c>
      <c r="G10" s="1"/>
      <c r="H10" s="1"/>
    </row>
    <row r="11" spans="1:8" ht="30.75" customHeight="1" x14ac:dyDescent="0.25">
      <c r="A11" s="1"/>
      <c r="B11" s="99" t="s">
        <v>136</v>
      </c>
      <c r="C11" s="100"/>
      <c r="D11" s="101"/>
      <c r="E11" s="11">
        <v>34452</v>
      </c>
      <c r="F11" s="22" t="s">
        <v>2</v>
      </c>
      <c r="G11" s="1"/>
      <c r="H11" s="1"/>
    </row>
    <row r="12" spans="1:8" x14ac:dyDescent="0.25">
      <c r="A12" s="1"/>
      <c r="B12" s="63" t="s">
        <v>137</v>
      </c>
      <c r="C12" s="97"/>
      <c r="D12" s="98"/>
      <c r="E12" s="11">
        <v>588944</v>
      </c>
      <c r="F12" s="22" t="s">
        <v>2</v>
      </c>
      <c r="G12" s="1"/>
      <c r="H12" s="1"/>
    </row>
    <row r="13" spans="1:8" x14ac:dyDescent="0.25">
      <c r="A13" s="1"/>
      <c r="B13" s="63" t="s">
        <v>138</v>
      </c>
      <c r="C13" s="97"/>
      <c r="D13" s="98"/>
      <c r="E13" s="11">
        <v>95221</v>
      </c>
      <c r="F13" s="22" t="s">
        <v>2</v>
      </c>
      <c r="G13" s="1"/>
      <c r="H13" s="1"/>
    </row>
    <row r="14" spans="1:8" x14ac:dyDescent="0.25">
      <c r="A14" s="1"/>
      <c r="B14" s="87" t="s">
        <v>124</v>
      </c>
      <c r="C14" s="88"/>
      <c r="D14" s="89"/>
      <c r="E14" s="20">
        <f>SUM(E10:E13)</f>
        <v>765198</v>
      </c>
      <c r="F14" s="21" t="s">
        <v>2</v>
      </c>
      <c r="G14" s="1"/>
      <c r="H14" s="1"/>
    </row>
    <row r="15" spans="1:8" x14ac:dyDescent="0.25">
      <c r="A15" s="1"/>
      <c r="B15" s="87" t="s">
        <v>125</v>
      </c>
      <c r="C15" s="88"/>
      <c r="D15" s="89"/>
      <c r="E15" s="20">
        <f>E14*(1+Prisudvikling2019)^2</f>
        <v>791280.24060077977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4">
    <mergeCell ref="B3:F4"/>
    <mergeCell ref="B14:D14"/>
    <mergeCell ref="B15:D15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116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78</v>
      </c>
      <c r="C9" s="43"/>
      <c r="D9" s="43"/>
      <c r="E9" s="43"/>
      <c r="F9" s="44"/>
      <c r="G9" s="56">
        <v>328947.16384947917</v>
      </c>
      <c r="H9" s="22" t="s">
        <v>2</v>
      </c>
      <c r="I9" s="1"/>
    </row>
    <row r="10" spans="1:9" x14ac:dyDescent="0.25">
      <c r="A10" s="1"/>
      <c r="B10" s="42" t="s">
        <v>79</v>
      </c>
      <c r="C10" s="43"/>
      <c r="D10" s="43"/>
      <c r="E10" s="43"/>
      <c r="F10" s="44"/>
      <c r="G10" s="56">
        <f>G9/GenereltKravDrift2018</f>
        <v>16447358.192473957</v>
      </c>
      <c r="H10" s="22" t="s">
        <v>2</v>
      </c>
      <c r="I10" s="1"/>
    </row>
    <row r="11" spans="1:9" x14ac:dyDescent="0.25">
      <c r="A11" s="1"/>
      <c r="B11" s="42" t="s">
        <v>80</v>
      </c>
      <c r="C11" s="43"/>
      <c r="D11" s="43"/>
      <c r="E11" s="43"/>
      <c r="F11" s="44"/>
      <c r="G11" s="56">
        <v>908286.84898222738</v>
      </c>
      <c r="H11" s="22" t="s">
        <v>2</v>
      </c>
      <c r="I11" s="1"/>
    </row>
    <row r="12" spans="1:9" x14ac:dyDescent="0.25">
      <c r="A12" s="1"/>
      <c r="B12" s="42" t="s">
        <v>81</v>
      </c>
      <c r="C12" s="43"/>
      <c r="D12" s="43"/>
      <c r="E12" s="43"/>
      <c r="F12" s="44"/>
      <c r="G12" s="56">
        <f>G11/GenereltKravAnlæg2018</f>
        <v>51315641.185436577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1" t="s">
        <v>83</v>
      </c>
      <c r="C17" s="92"/>
      <c r="D17" s="92"/>
      <c r="E17" s="92"/>
      <c r="F17" s="93"/>
      <c r="G17" s="57">
        <v>0.02</v>
      </c>
      <c r="H17" s="22"/>
      <c r="I17" s="1"/>
    </row>
    <row r="18" spans="1:9" x14ac:dyDescent="0.25">
      <c r="A18" s="1"/>
      <c r="B18" s="91" t="s">
        <v>82</v>
      </c>
      <c r="C18" s="92"/>
      <c r="D18" s="92"/>
      <c r="E18" s="92"/>
      <c r="F18" s="93"/>
      <c r="G18" s="57">
        <v>0.02</v>
      </c>
      <c r="H18" s="22"/>
      <c r="I18" s="1"/>
    </row>
    <row r="19" spans="1:9" x14ac:dyDescent="0.25">
      <c r="A19" s="1"/>
      <c r="B19" s="91" t="s">
        <v>84</v>
      </c>
      <c r="C19" s="92"/>
      <c r="D19" s="92"/>
      <c r="E19" s="92"/>
      <c r="F19" s="93"/>
      <c r="G19" s="57">
        <v>1.77E-2</v>
      </c>
      <c r="H19" s="22"/>
      <c r="I19" s="1"/>
    </row>
    <row r="20" spans="1:9" x14ac:dyDescent="0.25">
      <c r="A20" s="1"/>
      <c r="B20" s="91" t="s">
        <v>128</v>
      </c>
      <c r="C20" s="92"/>
      <c r="D20" s="92"/>
      <c r="E20" s="92"/>
      <c r="F20" s="9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121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-7471170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-7471170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2018-09-10T08:09:59Z</dcterms:modified>
</cp:coreProperties>
</file>