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E12" i="34" l="1"/>
  <c r="E18" i="34" l="1"/>
  <c r="E20" i="34" s="1"/>
  <c r="G21" i="34" s="1"/>
  <c r="G22" i="34" s="1"/>
  <c r="C26" i="15" s="1"/>
  <c r="E26" i="15" s="1"/>
  <c r="C16" i="23" l="1"/>
  <c r="C17" i="22"/>
  <c r="C17" i="15"/>
  <c r="C21" i="2"/>
  <c r="G12" i="34" l="1"/>
  <c r="C24" i="22" s="1"/>
  <c r="E24" i="22" s="1"/>
  <c r="G10" i="30" l="1"/>
  <c r="G12" i="30"/>
  <c r="E10" i="11" l="1"/>
  <c r="G12" i="11"/>
  <c r="F12" i="11"/>
  <c r="D10" i="20" s="1"/>
  <c r="C31" i="2" l="1"/>
  <c r="C17" i="23" l="1"/>
  <c r="E17" i="23" s="1"/>
  <c r="C18" i="22" l="1"/>
  <c r="E18" i="22" s="1"/>
  <c r="C18" i="15"/>
  <c r="E18" i="15" s="1"/>
  <c r="C22" i="2"/>
  <c r="E22" i="2" s="1"/>
  <c r="G13" i="27"/>
  <c r="D11" i="20" l="1"/>
  <c r="F11" i="21"/>
  <c r="F12" i="21" s="1"/>
  <c r="C13" i="2" s="1"/>
  <c r="D11" i="21"/>
  <c r="D12" i="21" s="1"/>
  <c r="C12" i="2" s="1"/>
  <c r="C9" i="2"/>
  <c r="E13" i="19"/>
  <c r="E14" i="19" s="1"/>
  <c r="C24" i="2" l="1"/>
  <c r="C26" i="2" s="1"/>
  <c r="E26" i="2" s="1"/>
  <c r="C20" i="22"/>
  <c r="C22" i="22" s="1"/>
  <c r="E22" i="22" s="1"/>
  <c r="C19" i="23"/>
  <c r="C20" i="15"/>
  <c r="C22" i="15" l="1"/>
  <c r="E22" i="15" s="1"/>
  <c r="C21" i="23"/>
  <c r="E21" i="23" s="1"/>
  <c r="G11" i="10"/>
  <c r="E31" i="2" l="1"/>
  <c r="G13" i="10"/>
  <c r="C24" i="15" s="1"/>
  <c r="E24" i="15" l="1"/>
  <c r="D12" i="20"/>
  <c r="C10" i="2" s="1"/>
  <c r="C16" i="2" s="1"/>
  <c r="C12" i="15" l="1"/>
  <c r="C12" i="22" s="1"/>
  <c r="C11" i="23" s="1"/>
  <c r="E11" i="11"/>
  <c r="E12" i="11" l="1"/>
  <c r="F10" i="20" s="1"/>
  <c r="F11" i="20" s="1"/>
  <c r="F12" i="20" s="1"/>
  <c r="C11" i="2" s="1"/>
  <c r="C17" i="2" s="1"/>
  <c r="C33" i="2"/>
  <c r="E33" i="2" s="1"/>
  <c r="C13" i="15" l="1"/>
  <c r="C13" i="22" s="1"/>
  <c r="C12" i="23" s="1"/>
  <c r="C14" i="2"/>
  <c r="C15" i="2" s="1"/>
  <c r="C18" i="2" l="1"/>
  <c r="E18" i="2" s="1"/>
  <c r="E34" i="2" s="1"/>
  <c r="C9" i="15" l="1"/>
  <c r="C10" i="15" l="1"/>
  <c r="C11" i="15" s="1"/>
  <c r="C14" i="15" l="1"/>
  <c r="E14" i="15" s="1"/>
  <c r="E27" i="15" s="1"/>
  <c r="C9" i="22" l="1"/>
  <c r="C10" i="22" l="1"/>
  <c r="C11" i="22" s="1"/>
  <c r="C14" i="22" l="1"/>
  <c r="E14" i="22" s="1"/>
  <c r="E25" i="22" s="1"/>
  <c r="C8" i="23" l="1"/>
  <c r="C9" i="23" l="1"/>
  <c r="C10" i="23" l="1"/>
  <c r="C13" i="23" s="1"/>
  <c r="E13" i="23" s="1"/>
  <c r="E22" i="23" s="1"/>
</calcChain>
</file>

<file path=xl/sharedStrings.xml><?xml version="1.0" encoding="utf-8"?>
<sst xmlns="http://schemas.openxmlformats.org/spreadsheetml/2006/main" count="321" uniqueCount="141">
  <si>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</si>
  <si>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</si>
  <si>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</si>
  <si>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</si>
  <si>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</si>
  <si>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</si>
  <si>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</si>
  <si>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</si>
  <si>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</si>
  <si>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</si>
  <si>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</si>
  <si>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</si>
  <si>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</si>
  <si>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</si>
  <si>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</si>
  <si>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</si>
  <si>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</si>
  <si>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</si>
  <si>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</si>
  <si>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</si>
  <si>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</si>
  <si>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</si>
  <si>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</si>
  <si>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</si>
  <si>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</si>
  <si>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</si>
  <si>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</si>
  <si>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</si>
  <si>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</si>
  <si>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</si>
  <si>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</si>
  <si>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</si>
  <si>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</si>
  <si>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</si>
  <si>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</si>
  <si>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</si>
  <si>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</si>
  <si>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</si>
  <si>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</si>
  <si>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</si>
  <si>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</si>
  <si>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</si>
  <si>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</si>
  <si>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</si>
  <si>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</si>
  <si>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</si>
  <si>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</si>
  <si>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</si>
  <si>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</si>
  <si>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</si>
  <si>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</si>
  <si>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</si>
  <si>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</si>
  <si>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</si>
  <si>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</si>
  <si>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</si>
  <si>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</si>
  <si>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</si>
  <si>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</si>
  <si>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</si>
  <si>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</si>
  <si>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</si>
  <si>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</si>
  <si>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</si>
  <si>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</si>
  <si>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</si>
  <si>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</si>
  <si>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</si>
  <si>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</si>
  <si>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</si>
  <si>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</si>
  <si>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</si>
  <si>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</si>
  <si>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</si>
  <si>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</si>
  <si>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</si>
  <si>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</si>
  <si>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</si>
  <si>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</si>
  <si>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</si>
  <si>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</si>
  <si>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</si>
  <si>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</si>
  <si>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</si>
  <si>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</si>
  <si>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</si>
  <si>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</si>
  <si>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</si>
  <si>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</si>
  <si>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</si>
  <si>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</si>
  <si>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</si>
  <si>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</si>
  <si>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</si>
  <si>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</si>
  <si>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</si>
  <si>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</si>
  <si>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</si>
  <si>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</si>
  <si>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</si>
  <si>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</si>
  <si>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</si>
  <si>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</si>
  <si>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</si>
  <si>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</si>
  <si>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</si>
  <si>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</si>
  <si>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</si>
  <si>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</si>
  <si>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</si>
  <si>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</si>
  <si>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</si>
  <si>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</si>
  <si>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</si>
  <si>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</si>
  <si>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</si>
  <si>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</si>
  <si>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</si>
  <si>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</si>
  <si>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</si>
  <si>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</si>
  <si>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</si>
  <si>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</si>
  <si>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</si>
  <si>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</si>
  <si>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</si>
  <si>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</si>
  <si>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</si>
  <si>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</si>
  <si>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</si>
  <si>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</si>
  <si>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</si>
  <si>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</si>
  <si>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Spildevandsafgift</t>
  </si>
  <si>
    <t>Afgift til Forsyningsekretariatet</t>
  </si>
  <si>
    <t>Skatter og afgifter</t>
  </si>
  <si>
    <t>Periodevise driftsomkostninger under prisloftsbekendtgørelsen</t>
  </si>
  <si>
    <t>Ingen bortfald eller nedsættelse</t>
  </si>
  <si>
    <t>Fane 10: Bortfald eller nedsættelse af omkostninger til mål, medfinansiering eller udvidelse</t>
  </si>
  <si>
    <t>Fane 11: Nøgletal</t>
  </si>
  <si>
    <t>Ledningsnet ≤ Ø 200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</si>
</sst>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2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3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4" t="s">
        <v>123</v>
      </c>
      <c r="E8" s="74"/>
      <c r="F8" s="74"/>
      <c r="G8" s="7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3" t="s">
        <v>4</v>
      </c>
      <c r="E11" s="73"/>
      <c r="F11" s="73"/>
      <c r="G11" s="7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66" t="s">
        <v>31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30</v>
      </c>
      <c r="D14" s="66" t="s">
        <v>95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94</v>
      </c>
      <c r="D15" s="66" t="s">
        <v>97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96</v>
      </c>
      <c r="D16" s="66" t="s">
        <v>124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6</v>
      </c>
      <c r="D17" s="75" t="s">
        <v>98</v>
      </c>
      <c r="E17" s="76"/>
      <c r="F17" s="76"/>
      <c r="G17" s="77"/>
      <c r="H17" s="1"/>
      <c r="I17" s="1"/>
    </row>
    <row r="18" spans="1:9" x14ac:dyDescent="0.25">
      <c r="A18" s="1"/>
      <c r="B18" s="1"/>
      <c r="C18" s="6" t="s">
        <v>7</v>
      </c>
      <c r="D18" s="75" t="s">
        <v>99</v>
      </c>
      <c r="E18" s="76"/>
      <c r="F18" s="76"/>
      <c r="G18" s="77"/>
      <c r="H18" s="1"/>
      <c r="I18" s="1"/>
    </row>
    <row r="19" spans="1:9" x14ac:dyDescent="0.25">
      <c r="A19" s="1"/>
      <c r="B19" s="1"/>
      <c r="C19" s="6" t="s">
        <v>8</v>
      </c>
      <c r="D19" s="81" t="s">
        <v>103</v>
      </c>
      <c r="E19" s="82"/>
      <c r="F19" s="82"/>
      <c r="G19" s="83"/>
      <c r="H19" s="1"/>
      <c r="I19" s="1"/>
    </row>
    <row r="20" spans="1:9" x14ac:dyDescent="0.25">
      <c r="A20" s="1"/>
      <c r="B20" s="1"/>
      <c r="C20" s="6" t="s">
        <v>9</v>
      </c>
      <c r="D20" s="70" t="s">
        <v>100</v>
      </c>
      <c r="E20" s="71"/>
      <c r="F20" s="71"/>
      <c r="G20" s="72"/>
      <c r="H20" s="1"/>
      <c r="I20" s="1"/>
    </row>
    <row r="21" spans="1:9" x14ac:dyDescent="0.25">
      <c r="A21" s="1"/>
      <c r="B21" s="1"/>
      <c r="C21" s="6" t="s">
        <v>10</v>
      </c>
      <c r="D21" s="70" t="s">
        <v>122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11</v>
      </c>
      <c r="D22" s="70" t="s">
        <v>104</v>
      </c>
      <c r="E22" s="71"/>
      <c r="F22" s="71"/>
      <c r="G22" s="72"/>
      <c r="H22" s="1"/>
      <c r="I22" s="1"/>
    </row>
    <row r="23" spans="1:9" x14ac:dyDescent="0.25">
      <c r="A23" s="1"/>
      <c r="B23" s="1"/>
      <c r="C23" s="6" t="s">
        <v>12</v>
      </c>
      <c r="D23" s="84" t="s">
        <v>28</v>
      </c>
      <c r="E23" s="85"/>
      <c r="F23" s="85"/>
      <c r="G23" s="86"/>
      <c r="H23" s="1"/>
      <c r="I23" s="1"/>
    </row>
    <row r="24" spans="1:9" x14ac:dyDescent="0.25">
      <c r="A24" s="1"/>
      <c r="B24" s="1"/>
      <c r="C24" s="6" t="s">
        <v>26</v>
      </c>
      <c r="D24" s="78" t="s">
        <v>101</v>
      </c>
      <c r="E24" s="79"/>
      <c r="F24" s="79"/>
      <c r="G24" s="80"/>
      <c r="H24" s="1"/>
      <c r="I24" s="1"/>
    </row>
    <row r="25" spans="1:9" x14ac:dyDescent="0.25">
      <c r="A25" s="1"/>
      <c r="B25" s="1"/>
      <c r="C25" s="6" t="s">
        <v>29</v>
      </c>
      <c r="D25" s="78" t="s">
        <v>54</v>
      </c>
      <c r="E25" s="79"/>
      <c r="F25" s="79"/>
      <c r="G25" s="80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24:G24"/>
    <mergeCell ref="D25:G25"/>
    <mergeCell ref="D19:G19"/>
    <mergeCell ref="D21:G21"/>
    <mergeCell ref="D22:G22"/>
    <mergeCell ref="D23:G23"/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126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116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6" t="s">
        <v>105</v>
      </c>
      <c r="C9" s="97"/>
      <c r="D9" s="98"/>
      <c r="E9" s="11">
        <v>34176962.912827924</v>
      </c>
      <c r="F9" s="22" t="s">
        <v>2</v>
      </c>
      <c r="G9" s="19"/>
      <c r="H9" s="27"/>
      <c r="I9" s="1"/>
    </row>
    <row r="10" spans="1:9" x14ac:dyDescent="0.25">
      <c r="A10" s="1"/>
      <c r="B10" s="96" t="s">
        <v>106</v>
      </c>
      <c r="C10" s="97"/>
      <c r="D10" s="98"/>
      <c r="E10" s="11">
        <v>31525797</v>
      </c>
      <c r="F10" s="22" t="s">
        <v>2</v>
      </c>
      <c r="G10" s="14"/>
      <c r="H10" s="28"/>
      <c r="I10" s="1"/>
    </row>
    <row r="11" spans="1:9" x14ac:dyDescent="0.25">
      <c r="A11" s="1"/>
      <c r="B11" s="96" t="s">
        <v>112</v>
      </c>
      <c r="C11" s="97"/>
      <c r="D11" s="98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4" t="s">
        <v>107</v>
      </c>
      <c r="C12" s="45"/>
      <c r="D12" s="46"/>
      <c r="E12" s="17">
        <f>E9-(E10-E11)</f>
        <v>2651165.9128279239</v>
      </c>
      <c r="F12" s="25" t="s">
        <v>2</v>
      </c>
      <c r="G12" s="17">
        <f>E12</f>
        <v>2651165.9128279239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9" t="s">
        <v>117</v>
      </c>
      <c r="C17" s="90"/>
      <c r="D17" s="90"/>
      <c r="E17" s="90"/>
      <c r="F17" s="90"/>
      <c r="G17" s="90"/>
      <c r="H17" s="91"/>
      <c r="I17" s="1"/>
    </row>
    <row r="18" spans="1:9" x14ac:dyDescent="0.25">
      <c r="A18" s="1"/>
      <c r="B18" s="99" t="s">
        <v>118</v>
      </c>
      <c r="C18" s="100"/>
      <c r="D18" s="101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99" t="s">
        <v>113</v>
      </c>
      <c r="C19" s="100"/>
      <c r="D19" s="101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99" t="s">
        <v>119</v>
      </c>
      <c r="C20" s="100"/>
      <c r="D20" s="101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89" t="s">
        <v>114</v>
      </c>
      <c r="C21" s="90"/>
      <c r="D21" s="90"/>
      <c r="E21" s="90"/>
      <c r="F21" s="91"/>
      <c r="G21" s="20">
        <f>E20</f>
        <v>0</v>
      </c>
      <c r="H21" s="21" t="s">
        <v>2</v>
      </c>
      <c r="I21" s="1"/>
    </row>
    <row r="22" spans="1:9" x14ac:dyDescent="0.25">
      <c r="A22" s="1"/>
      <c r="B22" s="89" t="s">
        <v>115</v>
      </c>
      <c r="C22" s="90"/>
      <c r="D22" s="90"/>
      <c r="E22" s="90"/>
      <c r="F22" s="91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18:D18"/>
    <mergeCell ref="B19:D19"/>
    <mergeCell ref="B20:D20"/>
    <mergeCell ref="B21:F21"/>
    <mergeCell ref="B22:F22"/>
    <mergeCell ref="B3:H4"/>
    <mergeCell ref="B8:H8"/>
    <mergeCell ref="B17:H17"/>
    <mergeCell ref="B9:D9"/>
    <mergeCell ref="B10:D10"/>
    <mergeCell ref="B11:D11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130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127</v>
      </c>
      <c r="C8" s="90"/>
      <c r="D8" s="90"/>
      <c r="E8" s="90"/>
      <c r="F8" s="90"/>
      <c r="G8" s="90"/>
      <c r="H8" s="91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x14ac:dyDescent="0.25">
      <c r="A10" s="1"/>
      <c r="B10" s="63" t="s">
        <v>140</v>
      </c>
      <c r="C10" s="64">
        <v>75</v>
      </c>
      <c r="D10" s="11">
        <v>1313175.5900000001</v>
      </c>
      <c r="E10" s="11">
        <f>D10/C10</f>
        <v>17509.007866666667</v>
      </c>
      <c r="F10" s="11">
        <v>0</v>
      </c>
      <c r="G10" s="11">
        <v>0</v>
      </c>
      <c r="H10" s="22" t="s">
        <v>2</v>
      </c>
      <c r="I10" s="1"/>
    </row>
    <row r="11" spans="1:9" x14ac:dyDescent="0.25">
      <c r="A11" s="1"/>
      <c r="B11" s="63" t="s">
        <v>140</v>
      </c>
      <c r="C11" s="64">
        <v>75</v>
      </c>
      <c r="D11" s="11">
        <v>1419061.85</v>
      </c>
      <c r="E11" s="11">
        <f t="shared" ref="E11" si="0">D11/C11</f>
        <v>18920.824666666667</v>
      </c>
      <c r="F11" s="11">
        <v>0</v>
      </c>
      <c r="G11" s="11">
        <v>0</v>
      </c>
      <c r="H11" s="22" t="s">
        <v>2</v>
      </c>
      <c r="I11" s="1"/>
    </row>
    <row r="12" spans="1:9" x14ac:dyDescent="0.25">
      <c r="A12" s="1"/>
      <c r="B12" s="89" t="s">
        <v>131</v>
      </c>
      <c r="C12" s="90"/>
      <c r="D12" s="91"/>
      <c r="E12" s="20">
        <f>SUM(E10:E11)</f>
        <v>36429.832533333334</v>
      </c>
      <c r="F12" s="20">
        <f>SUM(F10:F11)</f>
        <v>0</v>
      </c>
      <c r="G12" s="20">
        <f>SUM(G10:G11)</f>
        <v>0</v>
      </c>
      <c r="H12" s="21" t="s">
        <v>2</v>
      </c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3">
    <mergeCell ref="B3:H4"/>
    <mergeCell ref="B8:H8"/>
    <mergeCell ref="B12:D12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121</v>
      </c>
      <c r="C3" s="87"/>
      <c r="D3" s="87"/>
      <c r="E3" s="87"/>
      <c r="F3" s="87"/>
      <c r="G3" s="87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8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5" t="s">
        <v>127</v>
      </c>
      <c r="C10" s="56"/>
      <c r="D10" s="57">
        <f>'Fane 8. Anlægsprojekter'!F12</f>
        <v>0</v>
      </c>
      <c r="E10" s="22" t="s">
        <v>2</v>
      </c>
      <c r="F10" s="11">
        <f>SUM('Fane 8. Anlægsprojekter'!E12,'Fane 8. Anlægsprojekter'!G12)</f>
        <v>36429.832533333334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36429.832533333334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37045.496703146666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138</v>
      </c>
      <c r="C3" s="92"/>
      <c r="D3" s="92"/>
      <c r="E3" s="92"/>
      <c r="F3" s="92"/>
      <c r="G3" s="92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5" t="s">
        <v>137</v>
      </c>
      <c r="C10" s="65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139</v>
      </c>
      <c r="C3" s="92"/>
      <c r="D3" s="92"/>
      <c r="E3" s="92"/>
      <c r="F3" s="92"/>
      <c r="G3" s="1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60" t="s">
        <v>44</v>
      </c>
      <c r="C9" s="61"/>
      <c r="D9" s="61"/>
      <c r="E9" s="62"/>
      <c r="F9" s="58">
        <v>1.7500000000000002E-2</v>
      </c>
      <c r="G9" s="59"/>
      <c r="H9" s="1"/>
    </row>
    <row r="10" spans="1:8" x14ac:dyDescent="0.25">
      <c r="A10" s="1"/>
      <c r="B10" s="60" t="s">
        <v>45</v>
      </c>
      <c r="C10" s="61"/>
      <c r="D10" s="61"/>
      <c r="E10" s="62"/>
      <c r="F10" s="58">
        <v>1.6899999999999998E-2</v>
      </c>
      <c r="G10" s="59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60" t="s">
        <v>13</v>
      </c>
      <c r="C14" s="61"/>
      <c r="D14" s="61"/>
      <c r="E14" s="62"/>
      <c r="F14" s="58">
        <v>3.6513609247213856E-3</v>
      </c>
      <c r="G14" s="59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2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87" t="s">
        <v>41</v>
      </c>
      <c r="C3" s="87"/>
      <c r="D3" s="87"/>
      <c r="E3" s="87"/>
      <c r="F3" s="87"/>
      <c r="G3" s="1"/>
      <c r="I3" s="36"/>
    </row>
    <row r="4" spans="1:9" ht="15" customHeight="1" x14ac:dyDescent="0.25">
      <c r="A4" s="1"/>
      <c r="B4" s="87"/>
      <c r="C4" s="87"/>
      <c r="D4" s="87"/>
      <c r="E4" s="87"/>
      <c r="F4" s="87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2" t="s">
        <v>49</v>
      </c>
      <c r="C9" s="7">
        <f>'Fane 3. Omkostninger i ØR2018'!G13</f>
        <v>33032003.910314199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3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3" t="s">
        <v>63</v>
      </c>
      <c r="C11" s="11">
        <f>'Fane 9. Tillæg'!F12</f>
        <v>37045.496703146666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3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3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3" t="s">
        <v>37</v>
      </c>
      <c r="C14" s="11">
        <f>C9*Prisudvikling2018+SUM(C10:C13)*Prisudvikling2019</f>
        <v>578686.13732478162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3" t="s">
        <v>13</v>
      </c>
      <c r="C15" s="11">
        <f>-SUM(C9:C14)*IndividueltKrav</f>
        <v>-122860.02677196971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3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-234550.73997764144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3" t="s">
        <v>62</v>
      </c>
      <c r="C17" s="11">
        <f>-(('Fane 5. Generelt eff. krav'!G12-'Fane 5. Generelt eff. krav'!G11)*(1+Prisudvikling2018)*GenereltKravAnlæg2018+SUM(C11,C13)*(1+Prisudvikling2019)*GenereltKravAnlæg2019)</f>
        <v>-390708.02876314358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4" t="s">
        <v>40</v>
      </c>
      <c r="C18" s="17">
        <f>SUM(C9:C17)</f>
        <v>32899616.748829372</v>
      </c>
      <c r="D18" s="18" t="s">
        <v>2</v>
      </c>
      <c r="E18" s="17">
        <f>C18</f>
        <v>32899616.748829372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3" t="s">
        <v>136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3" t="s">
        <v>76</v>
      </c>
      <c r="C21" s="11">
        <f>-(C20*(GenereltKravDrift2018+IndividueltKrav))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3" t="s">
        <v>22</v>
      </c>
      <c r="C24" s="11">
        <f>'Fane 4. Ikke-påvirkelige omk.'!E14</f>
        <v>706263.92626023979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3" t="s">
        <v>79</v>
      </c>
      <c r="C25" s="11">
        <v>627567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29" t="s">
        <v>80</v>
      </c>
      <c r="C26" s="17">
        <f>SUM(C24:C25)</f>
        <v>1333830.9262602399</v>
      </c>
      <c r="D26" s="18" t="s">
        <v>2</v>
      </c>
      <c r="E26" s="17">
        <f>C26</f>
        <v>1333830.9262602399</v>
      </c>
      <c r="F26" s="18" t="s">
        <v>2</v>
      </c>
      <c r="G26" s="1"/>
    </row>
    <row r="27" spans="1:7" ht="15" customHeight="1" x14ac:dyDescent="0.25">
      <c r="A27" s="1"/>
      <c r="B27" s="39" t="s">
        <v>50</v>
      </c>
      <c r="C27" s="40"/>
      <c r="D27" s="40"/>
      <c r="E27" s="40"/>
      <c r="F27" s="41"/>
      <c r="G27" s="1"/>
    </row>
    <row r="28" spans="1:7" ht="15" customHeight="1" x14ac:dyDescent="0.25">
      <c r="A28" s="1"/>
      <c r="B28" s="42" t="s">
        <v>81</v>
      </c>
      <c r="C28" s="7">
        <v>0</v>
      </c>
      <c r="D28" s="8" t="s">
        <v>2</v>
      </c>
      <c r="E28" s="33"/>
      <c r="F28" s="13"/>
      <c r="G28" s="1"/>
    </row>
    <row r="29" spans="1:7" ht="15" customHeight="1" x14ac:dyDescent="0.25">
      <c r="A29" s="1"/>
      <c r="B29" s="42" t="s">
        <v>51</v>
      </c>
      <c r="C29" s="7">
        <v>0</v>
      </c>
      <c r="D29" s="8" t="s">
        <v>2</v>
      </c>
      <c r="E29" s="32"/>
      <c r="F29" s="13"/>
      <c r="G29" s="1"/>
    </row>
    <row r="30" spans="1:7" ht="28.5" customHeight="1" x14ac:dyDescent="0.25">
      <c r="A30" s="1"/>
      <c r="B30" s="43" t="s">
        <v>52</v>
      </c>
      <c r="C30" s="7">
        <v>4282.9733444895892</v>
      </c>
      <c r="D30" s="8" t="s">
        <v>2</v>
      </c>
      <c r="E30" s="32"/>
      <c r="F30" s="13"/>
      <c r="G30" s="1"/>
    </row>
    <row r="31" spans="1:7" ht="15" customHeight="1" x14ac:dyDescent="0.25">
      <c r="A31" s="1"/>
      <c r="B31" s="44" t="s">
        <v>53</v>
      </c>
      <c r="C31" s="17">
        <f>SUM(C28:C30)</f>
        <v>4282.9733444895892</v>
      </c>
      <c r="D31" s="18" t="s">
        <v>2</v>
      </c>
      <c r="E31" s="17">
        <f>C31</f>
        <v>4282.9733444895892</v>
      </c>
      <c r="F31" s="18" t="s">
        <v>2</v>
      </c>
      <c r="G31" s="1"/>
    </row>
    <row r="32" spans="1:7" x14ac:dyDescent="0.25">
      <c r="A32" s="1"/>
      <c r="B32" s="39" t="s">
        <v>15</v>
      </c>
      <c r="C32" s="40"/>
      <c r="D32" s="40"/>
      <c r="E32" s="40"/>
      <c r="F32" s="41"/>
      <c r="G32" s="1"/>
    </row>
    <row r="33" spans="1:7" ht="15" customHeight="1" x14ac:dyDescent="0.25">
      <c r="A33" s="1"/>
      <c r="B33" s="44" t="s">
        <v>24</v>
      </c>
      <c r="C33" s="17">
        <f>'Fane 6. Hist. over el. underdæk'!G13</f>
        <v>-1357830</v>
      </c>
      <c r="D33" s="18" t="s">
        <v>2</v>
      </c>
      <c r="E33" s="17">
        <f>C33</f>
        <v>-1357830</v>
      </c>
      <c r="F33" s="18" t="s">
        <v>2</v>
      </c>
      <c r="G33" s="1"/>
    </row>
    <row r="34" spans="1:7" x14ac:dyDescent="0.25">
      <c r="A34" s="1"/>
      <c r="B34" s="39" t="s">
        <v>33</v>
      </c>
      <c r="C34" s="40"/>
      <c r="D34" s="41"/>
      <c r="E34" s="20">
        <f>SUM(E18,E22,E26,E31,E33)</f>
        <v>32879900.648434103</v>
      </c>
      <c r="F34" s="21" t="s">
        <v>2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42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25</v>
      </c>
      <c r="C8" s="90"/>
      <c r="D8" s="90"/>
      <c r="E8" s="90"/>
      <c r="F8" s="91"/>
      <c r="G8" s="1"/>
    </row>
    <row r="9" spans="1:7" ht="15" customHeight="1" x14ac:dyDescent="0.25">
      <c r="A9" s="1"/>
      <c r="B9" s="42" t="s">
        <v>55</v>
      </c>
      <c r="C9" s="7">
        <f>'Fane 2.1. Økonomisk ramme 2019'!E18</f>
        <v>32899616.748829372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3" t="s">
        <v>37</v>
      </c>
      <c r="C10" s="11">
        <f>SUM(C9:C9)*Prisudvikling2019</f>
        <v>556003.5230552163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3" t="s">
        <v>13</v>
      </c>
      <c r="C11" s="11">
        <f>-SUM(C9:C10)*IndividueltKrav</f>
        <v>-122158.54457307605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3" t="s">
        <v>61</v>
      </c>
      <c r="C12" s="11">
        <f>('Fane 2.1. Økonomisk ramme 2019'!C16/GenereltKravDrift2018-'Fane 2.1. Økonomisk ramme 2019'!C16)*(1+Prisudvikling2019)*GenereltKravDrift2019</f>
        <v>-233744.35453359832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3" t="s">
        <v>62</v>
      </c>
      <c r="C13" s="11">
        <f>(('Fane 2.1. Økonomisk ramme 2019'!C17/GenereltKravAnlæg2018-'Fane 2.1. Økonomisk ramme 2019'!C17)*(1+Prisudvikling2019)*GenereltKravAnlæg2019)</f>
        <v>-191831.84924707087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4" t="s">
        <v>40</v>
      </c>
      <c r="C14" s="17">
        <f>SUM(C9:C13)</f>
        <v>32907885.523530845</v>
      </c>
      <c r="D14" s="18" t="s">
        <v>2</v>
      </c>
      <c r="E14" s="17">
        <f>C14</f>
        <v>32907885.523530845</v>
      </c>
      <c r="F14" s="18" t="s">
        <v>2</v>
      </c>
      <c r="G14" s="1"/>
    </row>
    <row r="15" spans="1:7" ht="15" customHeight="1" x14ac:dyDescent="0.25">
      <c r="A15" s="1"/>
      <c r="B15" s="89" t="s">
        <v>74</v>
      </c>
      <c r="C15" s="90"/>
      <c r="D15" s="90"/>
      <c r="E15" s="90"/>
      <c r="F15" s="91"/>
      <c r="G15" s="1"/>
    </row>
    <row r="16" spans="1:7" ht="15" customHeight="1" x14ac:dyDescent="0.25">
      <c r="A16" s="1"/>
      <c r="B16" s="43" t="s">
        <v>136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3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89" t="s">
        <v>22</v>
      </c>
      <c r="C19" s="90"/>
      <c r="D19" s="90"/>
      <c r="E19" s="90"/>
      <c r="F19" s="91"/>
      <c r="G19" s="1"/>
    </row>
    <row r="20" spans="1:7" ht="15" customHeight="1" x14ac:dyDescent="0.25">
      <c r="A20" s="1"/>
      <c r="B20" s="43" t="s">
        <v>22</v>
      </c>
      <c r="C20" s="11">
        <f>'Fane 4. Ikke-påvirkelige omk.'!E14*(1+Prisudvikling2019)</f>
        <v>718199.78661403782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3" t="s">
        <v>79</v>
      </c>
      <c r="C21" s="11">
        <v>627566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1345765.7866140378</v>
      </c>
      <c r="D22" s="18" t="s">
        <v>2</v>
      </c>
      <c r="E22" s="17">
        <f>C22</f>
        <v>1345765.7866140378</v>
      </c>
      <c r="F22" s="18" t="s">
        <v>2</v>
      </c>
      <c r="G22" s="1"/>
    </row>
    <row r="23" spans="1:7" x14ac:dyDescent="0.25">
      <c r="A23" s="1"/>
      <c r="B23" s="89" t="s">
        <v>15</v>
      </c>
      <c r="C23" s="90"/>
      <c r="D23" s="90"/>
      <c r="E23" s="90"/>
      <c r="F23" s="91"/>
      <c r="G23" s="1"/>
    </row>
    <row r="24" spans="1:7" ht="15" customHeight="1" x14ac:dyDescent="0.25">
      <c r="A24" s="1"/>
      <c r="B24" s="29" t="s">
        <v>24</v>
      </c>
      <c r="C24" s="17">
        <f>IF('Fane 6. Hist. over el. underdæk'!G12&gt;1,'Fane 6. Hist. over el. underdæk'!G13,0)</f>
        <v>-1357830</v>
      </c>
      <c r="D24" s="18" t="s">
        <v>2</v>
      </c>
      <c r="E24" s="17">
        <f>C24</f>
        <v>-1357830</v>
      </c>
      <c r="F24" s="18" t="s">
        <v>2</v>
      </c>
      <c r="G24" s="1"/>
    </row>
    <row r="25" spans="1:7" x14ac:dyDescent="0.25">
      <c r="A25" s="1"/>
      <c r="B25" s="89" t="s">
        <v>116</v>
      </c>
      <c r="C25" s="90"/>
      <c r="D25" s="90"/>
      <c r="E25" s="90"/>
      <c r="F25" s="91"/>
      <c r="G25" s="1"/>
    </row>
    <row r="26" spans="1:7" ht="15" customHeight="1" x14ac:dyDescent="0.25">
      <c r="A26" s="1"/>
      <c r="B26" s="29" t="s">
        <v>108</v>
      </c>
      <c r="C26" s="17">
        <f>'Fane 7. Kontrol af ØR2017'!G22</f>
        <v>0</v>
      </c>
      <c r="D26" s="18" t="s">
        <v>2</v>
      </c>
      <c r="E26" s="17">
        <f>C26</f>
        <v>0</v>
      </c>
      <c r="F26" s="18" t="s">
        <v>2</v>
      </c>
      <c r="G26" s="1"/>
    </row>
    <row r="27" spans="1:7" x14ac:dyDescent="0.25">
      <c r="A27" s="1"/>
      <c r="B27" s="39" t="s">
        <v>56</v>
      </c>
      <c r="C27" s="40"/>
      <c r="D27" s="41"/>
      <c r="E27" s="20">
        <f>SUM(E14,E18,E22,E24,E26)</f>
        <v>32895821.310144879</v>
      </c>
      <c r="F27" s="21" t="s">
        <v>2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7">
    <mergeCell ref="B3:F4"/>
    <mergeCell ref="B5:F5"/>
    <mergeCell ref="B25:F25"/>
    <mergeCell ref="B23:F23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91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2" t="s">
        <v>57</v>
      </c>
      <c r="C9" s="7">
        <f>'Fane 2.2. Økonomisk ramme 2020'!E14</f>
        <v>32907885.523530845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3" t="s">
        <v>37</v>
      </c>
      <c r="C10" s="11">
        <f>C9*Prisudvikling2019</f>
        <v>556143.26534767123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3" t="s">
        <v>13</v>
      </c>
      <c r="C11" s="11">
        <f>-SUM(C9:C10)*IndividueltKrav</f>
        <v>-122189.24710346252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3" t="s">
        <v>61</v>
      </c>
      <c r="C12" s="11">
        <f>(('Fane 2.2. Økonomisk ramme 2020'!C12/GenereltKravDrift2019-'Fane 2.2. Økonomisk ramme 2020'!C12)*(1+Prisudvikling2019)*GenereltKravDrift2019)</f>
        <v>-232940.74144271179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3" t="s">
        <v>62</v>
      </c>
      <c r="C13" s="11">
        <f>(('Fane 2.2. Økonomisk ramme 2020'!C13/GenereltKravAnlæg2019-'Fane 2.2. Økonomisk ramme 2020'!C13)*(1+Prisudvikling2019)*GenereltKravAnlæg2019)</f>
        <v>-193376.66537410204</v>
      </c>
      <c r="D13" s="8" t="s">
        <v>2</v>
      </c>
      <c r="E13" s="15"/>
      <c r="F13" s="16"/>
      <c r="G13" s="1"/>
    </row>
    <row r="14" spans="1:7" x14ac:dyDescent="0.25">
      <c r="A14" s="1"/>
      <c r="B14" s="44" t="s">
        <v>40</v>
      </c>
      <c r="C14" s="17">
        <f>SUM(C9:C13)</f>
        <v>32915522.134958241</v>
      </c>
      <c r="D14" s="18" t="s">
        <v>2</v>
      </c>
      <c r="E14" s="17">
        <f>C14</f>
        <v>32915522.134958241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3" t="s">
        <v>136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3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3" t="s">
        <v>22</v>
      </c>
      <c r="C20" s="11">
        <f>'Fane 4. Ikke-påvirkelige omk.'!E14*(1+Prisudvikling2019)^2</f>
        <v>730337.36300781497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3" t="s">
        <v>79</v>
      </c>
      <c r="C21" s="11">
        <v>627566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1357903.3630078151</v>
      </c>
      <c r="D22" s="18" t="s">
        <v>2</v>
      </c>
      <c r="E22" s="17">
        <f>C22</f>
        <v>1357903.3630078151</v>
      </c>
      <c r="F22" s="18" t="s">
        <v>2</v>
      </c>
      <c r="G22" s="1"/>
    </row>
    <row r="23" spans="1:7" ht="15" customHeight="1" x14ac:dyDescent="0.25">
      <c r="A23" s="1"/>
      <c r="B23" s="39" t="s">
        <v>116</v>
      </c>
      <c r="C23" s="40"/>
      <c r="D23" s="40"/>
      <c r="E23" s="40"/>
      <c r="F23" s="41"/>
      <c r="G23" s="1"/>
    </row>
    <row r="24" spans="1:7" ht="15" customHeight="1" x14ac:dyDescent="0.25">
      <c r="A24" s="1"/>
      <c r="B24" s="29" t="s">
        <v>108</v>
      </c>
      <c r="C24" s="17">
        <f>'Fane 2.2. Økonomisk ramme 2020'!C26*(1+Prisudvikling2019)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39" t="s">
        <v>68</v>
      </c>
      <c r="C25" s="40"/>
      <c r="D25" s="41"/>
      <c r="E25" s="20">
        <f>SUM(E14,E18,E22,E24)</f>
        <v>34273425.497966059</v>
      </c>
      <c r="F25" s="21" t="s">
        <v>2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2" t="s">
        <v>58</v>
      </c>
      <c r="C8" s="7">
        <f>'Fane 2.3. Økonomisk ramme 2021'!E14</f>
        <v>32915522.134958241</v>
      </c>
      <c r="D8" s="8" t="s">
        <v>2</v>
      </c>
      <c r="E8" s="9"/>
      <c r="F8" s="10"/>
      <c r="G8" s="1"/>
    </row>
    <row r="9" spans="1:7" ht="15" customHeight="1" x14ac:dyDescent="0.25">
      <c r="A9" s="1"/>
      <c r="B9" s="43" t="s">
        <v>37</v>
      </c>
      <c r="C9" s="11">
        <f>C8*Prisudvikling2019</f>
        <v>556272.32408079423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3" t="s">
        <v>13</v>
      </c>
      <c r="C10" s="11">
        <f>-SUM(C8:C9)*IndividueltKrav</f>
        <v>-122217.60236804093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3" t="s">
        <v>61</v>
      </c>
      <c r="C11" s="11">
        <f>('Fane 2.3. Økonomisk ramme 2021'!C12/GenereltKravDrift2019-'Fane 2.3. Økonomisk ramme 2021'!C12)*(1+Prisudvikling2019)*GenereltKravDrift2019</f>
        <v>-232139.89117363174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3" t="s">
        <v>62</v>
      </c>
      <c r="C12" s="11">
        <f>('Fane 2.3. Økonomisk ramme 2021'!C13/GenereltKravAnlæg2019-'Fane 2.3. Økonomisk ramme 2021'!C13)*(1+Prisudvikling2019)*GenereltKravAnlæg2019</f>
        <v>-194933.92185905974</v>
      </c>
      <c r="D12" s="8" t="s">
        <v>2</v>
      </c>
      <c r="E12" s="15"/>
      <c r="F12" s="16"/>
      <c r="G12" s="1"/>
    </row>
    <row r="13" spans="1:7" x14ac:dyDescent="0.25">
      <c r="A13" s="1"/>
      <c r="B13" s="44" t="s">
        <v>40</v>
      </c>
      <c r="C13" s="17">
        <f>SUM(C8:C12)</f>
        <v>32922503.043638304</v>
      </c>
      <c r="D13" s="18" t="s">
        <v>2</v>
      </c>
      <c r="E13" s="17">
        <f>C13</f>
        <v>32922503.043638304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3" t="s">
        <v>136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3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3" t="s">
        <v>22</v>
      </c>
      <c r="C19" s="11">
        <f>'Fane 4. Ikke-påvirkelige omk.'!E14*(1+Prisudvikling2019)^3</f>
        <v>742680.06444264692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3" t="s">
        <v>79</v>
      </c>
      <c r="C20" s="11">
        <v>627566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29" t="s">
        <v>80</v>
      </c>
      <c r="C21" s="17">
        <f>SUM(C19:C20)</f>
        <v>1370246.0644426469</v>
      </c>
      <c r="D21" s="18" t="s">
        <v>2</v>
      </c>
      <c r="E21" s="17">
        <f>C21</f>
        <v>1370246.0644426469</v>
      </c>
      <c r="F21" s="18" t="s">
        <v>2</v>
      </c>
      <c r="G21" s="1"/>
    </row>
    <row r="22" spans="1:7" x14ac:dyDescent="0.25">
      <c r="A22" s="1"/>
      <c r="B22" s="39" t="s">
        <v>78</v>
      </c>
      <c r="C22" s="40"/>
      <c r="D22" s="41"/>
      <c r="E22" s="20">
        <f>SUM(E13,E17,E21)</f>
        <v>34292749.108080953</v>
      </c>
      <c r="F22" s="21" t="s">
        <v>2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93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0" t="s">
        <v>32</v>
      </c>
      <c r="C9" s="61"/>
      <c r="D9" s="61"/>
      <c r="E9" s="61"/>
      <c r="F9" s="62"/>
      <c r="G9" s="11">
        <v>33829348.069417894</v>
      </c>
      <c r="H9" s="22" t="s">
        <v>2</v>
      </c>
      <c r="I9" s="1"/>
    </row>
    <row r="10" spans="1:9" x14ac:dyDescent="0.25">
      <c r="A10" s="1"/>
      <c r="B10" s="47" t="s">
        <v>73</v>
      </c>
      <c r="C10" s="61"/>
      <c r="D10" s="61"/>
      <c r="E10" s="61"/>
      <c r="F10" s="62"/>
      <c r="G10" s="11">
        <v>0</v>
      </c>
      <c r="H10" s="22" t="s">
        <v>2</v>
      </c>
      <c r="I10" s="1"/>
    </row>
    <row r="11" spans="1:9" x14ac:dyDescent="0.25">
      <c r="A11" s="1"/>
      <c r="B11" s="47" t="s">
        <v>48</v>
      </c>
      <c r="C11" s="61"/>
      <c r="D11" s="61"/>
      <c r="E11" s="61"/>
      <c r="F11" s="62"/>
      <c r="G11" s="11">
        <v>797344.159103696</v>
      </c>
      <c r="H11" s="22" t="s">
        <v>2</v>
      </c>
      <c r="I11" s="1"/>
    </row>
    <row r="12" spans="1:9" x14ac:dyDescent="0.25">
      <c r="A12" s="1"/>
      <c r="B12" s="47" t="s">
        <v>75</v>
      </c>
      <c r="C12" s="61"/>
      <c r="D12" s="61"/>
      <c r="E12" s="61"/>
      <c r="F12" s="62"/>
      <c r="G12" s="11">
        <v>0</v>
      </c>
      <c r="H12" s="22" t="s">
        <v>2</v>
      </c>
      <c r="I12" s="1"/>
    </row>
    <row r="13" spans="1:9" ht="26.25" customHeight="1" x14ac:dyDescent="0.25">
      <c r="A13" s="1"/>
      <c r="B13" s="48" t="s">
        <v>59</v>
      </c>
      <c r="C13" s="40"/>
      <c r="D13" s="40"/>
      <c r="E13" s="40"/>
      <c r="F13" s="41"/>
      <c r="G13" s="34">
        <f>G9-G10-G11</f>
        <v>33032003.910314199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102</v>
      </c>
      <c r="C3" s="87"/>
      <c r="D3" s="87"/>
      <c r="E3" s="87"/>
      <c r="F3" s="87"/>
      <c r="G3" s="1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4" t="s">
        <v>111</v>
      </c>
      <c r="C9" s="30"/>
      <c r="D9" s="37"/>
      <c r="E9" s="49" t="s">
        <v>47</v>
      </c>
      <c r="F9" s="18"/>
      <c r="G9" s="1"/>
      <c r="H9" s="1"/>
    </row>
    <row r="10" spans="1:8" x14ac:dyDescent="0.25">
      <c r="A10" s="1"/>
      <c r="B10" s="93" t="s">
        <v>133</v>
      </c>
      <c r="C10" s="94"/>
      <c r="D10" s="95"/>
      <c r="E10" s="11">
        <v>426798</v>
      </c>
      <c r="F10" s="22" t="s">
        <v>2</v>
      </c>
      <c r="G10" s="1"/>
      <c r="H10" s="1"/>
    </row>
    <row r="11" spans="1:8" x14ac:dyDescent="0.25">
      <c r="A11" s="1"/>
      <c r="B11" s="93" t="s">
        <v>134</v>
      </c>
      <c r="C11" s="94"/>
      <c r="D11" s="95"/>
      <c r="E11" s="11">
        <v>34217</v>
      </c>
      <c r="F11" s="22" t="s">
        <v>2</v>
      </c>
      <c r="G11" s="1"/>
      <c r="H11" s="1"/>
    </row>
    <row r="12" spans="1:8" x14ac:dyDescent="0.25">
      <c r="A12" s="1"/>
      <c r="B12" s="93" t="s">
        <v>135</v>
      </c>
      <c r="C12" s="94"/>
      <c r="D12" s="95"/>
      <c r="E12" s="11">
        <v>221969</v>
      </c>
      <c r="F12" s="22" t="s">
        <v>2</v>
      </c>
      <c r="G12" s="1"/>
      <c r="H12" s="1"/>
    </row>
    <row r="13" spans="1:8" x14ac:dyDescent="0.25">
      <c r="A13" s="1"/>
      <c r="B13" s="89" t="s">
        <v>128</v>
      </c>
      <c r="C13" s="90"/>
      <c r="D13" s="91"/>
      <c r="E13" s="20">
        <f>SUM(E10:E12)</f>
        <v>682984</v>
      </c>
      <c r="F13" s="21" t="s">
        <v>2</v>
      </c>
      <c r="G13" s="1"/>
      <c r="H13" s="1"/>
    </row>
    <row r="14" spans="1:8" x14ac:dyDescent="0.25">
      <c r="A14" s="1"/>
      <c r="B14" s="89" t="s">
        <v>129</v>
      </c>
      <c r="C14" s="90"/>
      <c r="D14" s="91"/>
      <c r="E14" s="20">
        <f>E13*(1+Prisudvikling2019)^2</f>
        <v>706263.92626023979</v>
      </c>
      <c r="F14" s="21" t="s">
        <v>2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password="DFE9" sheet="1" objects="1" scenarios="1"/>
  <mergeCells count="6">
    <mergeCell ref="B3:F4"/>
    <mergeCell ref="B13:D13"/>
    <mergeCell ref="B14:D14"/>
    <mergeCell ref="B10:D10"/>
    <mergeCell ref="B11:D11"/>
    <mergeCell ref="B12:D12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0" t="s">
        <v>82</v>
      </c>
      <c r="C9" s="61"/>
      <c r="D9" s="61"/>
      <c r="E9" s="61"/>
      <c r="F9" s="62"/>
      <c r="G9" s="53">
        <v>235221.12017012626</v>
      </c>
      <c r="H9" s="22" t="s">
        <v>2</v>
      </c>
      <c r="I9" s="1"/>
    </row>
    <row r="10" spans="1:9" x14ac:dyDescent="0.25">
      <c r="A10" s="1"/>
      <c r="B10" s="60" t="s">
        <v>83</v>
      </c>
      <c r="C10" s="61"/>
      <c r="D10" s="61"/>
      <c r="E10" s="61"/>
      <c r="F10" s="62"/>
      <c r="G10" s="53">
        <f>G9/GenereltKravDrift2018</f>
        <v>11761056.008506313</v>
      </c>
      <c r="H10" s="22" t="s">
        <v>2</v>
      </c>
      <c r="I10" s="1"/>
    </row>
    <row r="11" spans="1:9" x14ac:dyDescent="0.25">
      <c r="A11" s="1"/>
      <c r="B11" s="60" t="s">
        <v>84</v>
      </c>
      <c r="C11" s="61"/>
      <c r="D11" s="61"/>
      <c r="E11" s="61"/>
      <c r="F11" s="62"/>
      <c r="G11" s="53">
        <v>390579.38398343138</v>
      </c>
      <c r="H11" s="22" t="s">
        <v>2</v>
      </c>
      <c r="I11" s="1"/>
    </row>
    <row r="12" spans="1:9" x14ac:dyDescent="0.25">
      <c r="A12" s="1"/>
      <c r="B12" s="60" t="s">
        <v>85</v>
      </c>
      <c r="C12" s="61"/>
      <c r="D12" s="61"/>
      <c r="E12" s="61"/>
      <c r="F12" s="62"/>
      <c r="G12" s="53">
        <f>G11/GenereltKravAnlæg2018</f>
        <v>22066631.8634707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6" t="s">
        <v>87</v>
      </c>
      <c r="C17" s="97"/>
      <c r="D17" s="97"/>
      <c r="E17" s="97"/>
      <c r="F17" s="98"/>
      <c r="G17" s="54">
        <v>0.02</v>
      </c>
      <c r="H17" s="22"/>
      <c r="I17" s="1"/>
    </row>
    <row r="18" spans="1:9" x14ac:dyDescent="0.25">
      <c r="A18" s="1"/>
      <c r="B18" s="96" t="s">
        <v>86</v>
      </c>
      <c r="C18" s="97"/>
      <c r="D18" s="97"/>
      <c r="E18" s="97"/>
      <c r="F18" s="98"/>
      <c r="G18" s="54">
        <v>0.02</v>
      </c>
      <c r="H18" s="22"/>
      <c r="I18" s="1"/>
    </row>
    <row r="19" spans="1:9" x14ac:dyDescent="0.25">
      <c r="A19" s="1"/>
      <c r="B19" s="96" t="s">
        <v>88</v>
      </c>
      <c r="C19" s="97"/>
      <c r="D19" s="97"/>
      <c r="E19" s="97"/>
      <c r="F19" s="98"/>
      <c r="G19" s="54">
        <v>1.77E-2</v>
      </c>
      <c r="H19" s="22"/>
      <c r="I19" s="1"/>
    </row>
    <row r="20" spans="1:9" x14ac:dyDescent="0.25">
      <c r="A20" s="1"/>
      <c r="B20" s="96" t="s">
        <v>132</v>
      </c>
      <c r="C20" s="97"/>
      <c r="D20" s="97"/>
      <c r="E20" s="97"/>
      <c r="F20" s="98"/>
      <c r="G20" s="54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125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0" t="s">
        <v>17</v>
      </c>
      <c r="C9" s="61"/>
      <c r="D9" s="61"/>
      <c r="E9" s="61"/>
      <c r="F9" s="62"/>
      <c r="G9" s="11">
        <v>-13449368</v>
      </c>
      <c r="H9" s="22" t="s">
        <v>2</v>
      </c>
      <c r="I9" s="1"/>
    </row>
    <row r="10" spans="1:9" x14ac:dyDescent="0.25">
      <c r="A10" s="1"/>
      <c r="B10" s="60" t="s">
        <v>46</v>
      </c>
      <c r="C10" s="61"/>
      <c r="D10" s="61"/>
      <c r="E10" s="61"/>
      <c r="F10" s="62"/>
      <c r="G10" s="11">
        <v>-10733708</v>
      </c>
      <c r="H10" s="22" t="s">
        <v>2</v>
      </c>
      <c r="I10" s="1"/>
    </row>
    <row r="11" spans="1:9" x14ac:dyDescent="0.25">
      <c r="A11" s="1"/>
      <c r="B11" s="50" t="s">
        <v>20</v>
      </c>
      <c r="C11" s="51"/>
      <c r="D11" s="51"/>
      <c r="E11" s="51"/>
      <c r="F11" s="52"/>
      <c r="G11" s="31">
        <f>G9-G10</f>
        <v>-2715660</v>
      </c>
      <c r="H11" s="26" t="s">
        <v>2</v>
      </c>
      <c r="I11" s="1"/>
    </row>
    <row r="12" spans="1:9" x14ac:dyDescent="0.25">
      <c r="A12" s="1"/>
      <c r="B12" s="60" t="s">
        <v>18</v>
      </c>
      <c r="C12" s="61"/>
      <c r="D12" s="61"/>
      <c r="E12" s="61"/>
      <c r="F12" s="62"/>
      <c r="G12" s="11">
        <v>2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-1357830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2018-09-06T10:05:09Z</dcterms:modified>
</cp:coreProperties>
</file>