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22" i="23" l="1"/>
  <c r="C23" i="22"/>
  <c r="C23" i="15"/>
  <c r="C27" i="2"/>
  <c r="E12" i="34" l="1"/>
  <c r="E18" i="34" l="1"/>
  <c r="E20" i="34" s="1"/>
  <c r="G21" i="34" s="1"/>
  <c r="G22" i="34" s="1"/>
  <c r="C27" i="15" s="1"/>
  <c r="E27" i="15" s="1"/>
  <c r="C16" i="23" l="1"/>
  <c r="C17" i="22"/>
  <c r="C17" i="15"/>
  <c r="C21" i="2"/>
  <c r="G12" i="34" l="1"/>
  <c r="C25" i="22" s="1"/>
  <c r="E25" i="22" s="1"/>
  <c r="G10" i="30" l="1"/>
  <c r="G12" i="30"/>
  <c r="G11" i="11" l="1"/>
  <c r="F11" i="11"/>
  <c r="D10" i="20" s="1"/>
  <c r="C32" i="2" l="1"/>
  <c r="C17" i="23" l="1"/>
  <c r="E17" i="23" s="1"/>
  <c r="C18" i="22" l="1"/>
  <c r="E18" i="22" s="1"/>
  <c r="C18" i="15"/>
  <c r="E18" i="15" s="1"/>
  <c r="C22" i="2"/>
  <c r="E22" i="2" s="1"/>
  <c r="G13" i="27"/>
  <c r="D12" i="20" l="1"/>
  <c r="F11" i="21"/>
  <c r="F12" i="21" s="1"/>
  <c r="C13" i="2" s="1"/>
  <c r="D11" i="21"/>
  <c r="D12" i="21" s="1"/>
  <c r="C12" i="2" s="1"/>
  <c r="C9" i="2"/>
  <c r="E14" i="19"/>
  <c r="E15" i="19" s="1"/>
  <c r="C24" i="2" l="1"/>
  <c r="E27" i="2" s="1"/>
  <c r="C20" i="22"/>
  <c r="E23" i="22" s="1"/>
  <c r="C19" i="23"/>
  <c r="C20" i="15"/>
  <c r="E23" i="15" l="1"/>
  <c r="E22" i="23"/>
  <c r="G11" i="10"/>
  <c r="E32" i="2" l="1"/>
  <c r="G13" i="10"/>
  <c r="C25" i="15" s="1"/>
  <c r="E25" i="15" l="1"/>
  <c r="D13" i="20"/>
  <c r="C10" i="2" s="1"/>
  <c r="C16" i="2" s="1"/>
  <c r="C12" i="15" l="1"/>
  <c r="C12" i="22" s="1"/>
  <c r="C11" i="23" s="1"/>
  <c r="E11" i="11" l="1"/>
  <c r="F10" i="20" s="1"/>
  <c r="F12" i="20" s="1"/>
  <c r="F13" i="20" s="1"/>
  <c r="C11" i="2" s="1"/>
  <c r="C17" i="2" s="1"/>
  <c r="C34" i="2"/>
  <c r="E34" i="2" s="1"/>
  <c r="C13" i="15" l="1"/>
  <c r="C13" i="22" s="1"/>
  <c r="C12" i="23" s="1"/>
  <c r="C14" i="2"/>
  <c r="C15" i="2" s="1"/>
  <c r="C18" i="2" l="1"/>
  <c r="E18" i="2" s="1"/>
  <c r="E35" i="2" s="1"/>
  <c r="C9" i="15" l="1"/>
  <c r="C10" i="15" l="1"/>
  <c r="C11" i="15" s="1"/>
  <c r="C14" i="15" l="1"/>
  <c r="E14" i="15" s="1"/>
  <c r="E28" i="15" s="1"/>
  <c r="C9" i="22" l="1"/>
  <c r="C10" i="22" l="1"/>
  <c r="C11" i="22" s="1"/>
  <c r="C14" i="22" l="1"/>
  <c r="E14" i="22" s="1"/>
  <c r="E26" i="22" s="1"/>
  <c r="C8" i="23" l="1"/>
  <c r="C9" i="23" l="1"/>
  <c r="C10" i="23" l="1"/>
  <c r="C13" i="23" s="1"/>
  <c r="E13" i="23" s="1"/>
  <c r="E23" i="23" s="1"/>
</calcChain>
</file>

<file path=xl/sharedStrings.xml><?xml version="1.0" encoding="utf-8"?>
<sst xmlns="http://schemas.openxmlformats.org/spreadsheetml/2006/main" count="332" uniqueCount="144">
  <si>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</si>
  <si>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</si>
  <si>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</si>
  <si>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</si>
  <si>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</si>
  <si>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</si>
  <si>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</si>
  <si>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</si>
  <si>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</si>
  <si>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</si>
  <si>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</si>
  <si>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</si>
  <si>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</si>
  <si>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</si>
  <si>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</si>
  <si>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</si>
  <si>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</si>
  <si>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</si>
  <si>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</si>
  <si>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</si>
  <si>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</si>
  <si>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</si>
  <si>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</si>
  <si>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</si>
  <si>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</si>
  <si>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</si>
  <si>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</si>
  <si>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</si>
  <si>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</si>
  <si>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</si>
  <si>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</si>
  <si>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</si>
  <si>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</si>
  <si>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</si>
  <si>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</si>
  <si>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</si>
  <si>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</si>
  <si>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</si>
  <si>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</si>
  <si>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</si>
  <si>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</si>
  <si>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</si>
  <si>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</si>
  <si>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</si>
  <si>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</si>
  <si>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</si>
  <si>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</si>
  <si>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</si>
  <si>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</si>
  <si>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</si>
  <si>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</si>
  <si>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</si>
  <si>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</si>
  <si>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</si>
  <si>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</si>
  <si>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</si>
  <si>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</si>
  <si>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</si>
  <si>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</si>
  <si>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</si>
  <si>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</si>
  <si>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</si>
  <si>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</si>
  <si>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</si>
  <si>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</si>
  <si>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</si>
  <si>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</si>
  <si>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</si>
  <si>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</si>
  <si>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</si>
  <si>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</si>
  <si>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</si>
  <si>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</si>
  <si>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</si>
  <si>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</si>
  <si>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</si>
  <si>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</si>
  <si>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</si>
  <si>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</si>
  <si>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</si>
  <si>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</si>
  <si>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</si>
  <si>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</si>
  <si>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</si>
  <si>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</si>
  <si>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</si>
  <si>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</si>
  <si>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</si>
  <si>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</si>
  <si>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</si>
  <si>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</si>
  <si>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</si>
  <si>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</si>
  <si>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</si>
  <si>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</si>
  <si>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</si>
  <si>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</si>
  <si>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</si>
  <si>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</si>
  <si>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</si>
  <si>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</si>
  <si>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</si>
  <si>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</si>
  <si>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</si>
  <si>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</si>
  <si>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</si>
  <si>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</si>
  <si>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</si>
  <si>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</si>
  <si>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</si>
  <si>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</si>
  <si>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</si>
  <si>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</si>
  <si>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</si>
  <si>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</si>
  <si>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</si>
  <si>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</si>
  <si>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</si>
  <si>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</si>
  <si>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</si>
  <si>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</si>
  <si>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</si>
  <si>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</si>
  <si>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</si>
  <si>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</si>
  <si>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</si>
  <si>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</si>
  <si>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</si>
  <si>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</si>
  <si>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</si>
  <si>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</si>
  <si>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</si>
  <si>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</si>
  <si>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Ny kloakering</t>
  </si>
  <si>
    <t>Ingen anlægsprojekter</t>
  </si>
  <si>
    <t>Periodevise driftsomkostninger under prisloftsbekendtgørelsen</t>
  </si>
  <si>
    <t>Ingen bortfald eller nedsættelse</t>
  </si>
  <si>
    <t>Fane 10: Bortfald eller nedsættelse af omkostninger til mål, medfinansiering eller udvidelse</t>
  </si>
  <si>
    <t>Fane 11: Nøgletal</t>
  </si>
  <si>
    <t>Spildevandsafgift</t>
  </si>
  <si>
    <t>Afgift til Forsyningsekretariatet</t>
  </si>
  <si>
    <t>Køb af ydelser og produkter fra andre vandselskaber reguleret af vandsektorloven</t>
  </si>
  <si>
    <t>Skatter og afgifter</t>
  </si>
  <si>
    <t xml:space="preserve">Medfinansiering efter prisloftbekendtgørelsen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</si>
</sst>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49" fontId="8" fillId="9" borderId="10" xfId="0" applyNumberFormat="1" applyFont="1" applyFill="1" applyBorder="1" applyAlignment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3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123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4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66" t="s">
        <v>31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30</v>
      </c>
      <c r="D14" s="66" t="s">
        <v>95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94</v>
      </c>
      <c r="D15" s="66" t="s">
        <v>97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96</v>
      </c>
      <c r="D16" s="66" t="s">
        <v>124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6</v>
      </c>
      <c r="D17" s="75" t="s">
        <v>98</v>
      </c>
      <c r="E17" s="76"/>
      <c r="F17" s="76"/>
      <c r="G17" s="77"/>
      <c r="H17" s="1"/>
      <c r="I17" s="1"/>
    </row>
    <row r="18" spans="1:9" x14ac:dyDescent="0.25">
      <c r="A18" s="1"/>
      <c r="B18" s="1"/>
      <c r="C18" s="6" t="s">
        <v>7</v>
      </c>
      <c r="D18" s="75" t="s">
        <v>99</v>
      </c>
      <c r="E18" s="76"/>
      <c r="F18" s="76"/>
      <c r="G18" s="77"/>
      <c r="H18" s="1"/>
      <c r="I18" s="1"/>
    </row>
    <row r="19" spans="1:9" x14ac:dyDescent="0.25">
      <c r="A19" s="1"/>
      <c r="B19" s="1"/>
      <c r="C19" s="6" t="s">
        <v>8</v>
      </c>
      <c r="D19" s="81" t="s">
        <v>103</v>
      </c>
      <c r="E19" s="82"/>
      <c r="F19" s="82"/>
      <c r="G19" s="83"/>
      <c r="H19" s="1"/>
      <c r="I19" s="1"/>
    </row>
    <row r="20" spans="1:9" x14ac:dyDescent="0.25">
      <c r="A20" s="1"/>
      <c r="B20" s="1"/>
      <c r="C20" s="6" t="s">
        <v>9</v>
      </c>
      <c r="D20" s="70" t="s">
        <v>100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10</v>
      </c>
      <c r="D21" s="70" t="s">
        <v>122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</v>
      </c>
      <c r="D22" s="70" t="s">
        <v>104</v>
      </c>
      <c r="E22" s="71"/>
      <c r="F22" s="71"/>
      <c r="G22" s="72"/>
      <c r="H22" s="1"/>
      <c r="I22" s="1"/>
    </row>
    <row r="23" spans="1:9" x14ac:dyDescent="0.25">
      <c r="A23" s="1"/>
      <c r="B23" s="1"/>
      <c r="C23" s="6" t="s">
        <v>12</v>
      </c>
      <c r="D23" s="84" t="s">
        <v>28</v>
      </c>
      <c r="E23" s="85"/>
      <c r="F23" s="85"/>
      <c r="G23" s="86"/>
      <c r="H23" s="1"/>
      <c r="I23" s="1"/>
    </row>
    <row r="24" spans="1:9" x14ac:dyDescent="0.25">
      <c r="A24" s="1"/>
      <c r="B24" s="1"/>
      <c r="C24" s="6" t="s">
        <v>26</v>
      </c>
      <c r="D24" s="78" t="s">
        <v>101</v>
      </c>
      <c r="E24" s="79"/>
      <c r="F24" s="79"/>
      <c r="G24" s="80"/>
      <c r="H24" s="1"/>
      <c r="I24" s="1"/>
    </row>
    <row r="25" spans="1:9" x14ac:dyDescent="0.25">
      <c r="A25" s="1"/>
      <c r="B25" s="1"/>
      <c r="C25" s="6" t="s">
        <v>29</v>
      </c>
      <c r="D25" s="78" t="s">
        <v>54</v>
      </c>
      <c r="E25" s="79"/>
      <c r="F25" s="79"/>
      <c r="G25" s="80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24:G24"/>
    <mergeCell ref="D25:G25"/>
    <mergeCell ref="D19:G19"/>
    <mergeCell ref="D21:G21"/>
    <mergeCell ref="D22:G22"/>
    <mergeCell ref="D23:G23"/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116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3" t="s">
        <v>105</v>
      </c>
      <c r="C9" s="94"/>
      <c r="D9" s="95"/>
      <c r="E9" s="11">
        <v>47790531.534626938</v>
      </c>
      <c r="F9" s="22" t="s">
        <v>2</v>
      </c>
      <c r="G9" s="19"/>
      <c r="H9" s="27"/>
      <c r="I9" s="1"/>
    </row>
    <row r="10" spans="1:9" x14ac:dyDescent="0.25">
      <c r="A10" s="1"/>
      <c r="B10" s="93" t="s">
        <v>106</v>
      </c>
      <c r="C10" s="94"/>
      <c r="D10" s="95"/>
      <c r="E10" s="11">
        <v>50454352</v>
      </c>
      <c r="F10" s="22" t="s">
        <v>2</v>
      </c>
      <c r="G10" s="14"/>
      <c r="H10" s="28"/>
      <c r="I10" s="1"/>
    </row>
    <row r="11" spans="1:9" x14ac:dyDescent="0.25">
      <c r="A11" s="1"/>
      <c r="B11" s="93" t="s">
        <v>112</v>
      </c>
      <c r="C11" s="94"/>
      <c r="D11" s="95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107</v>
      </c>
      <c r="C12" s="48"/>
      <c r="D12" s="49"/>
      <c r="E12" s="17">
        <f>E9-(E10-E11)</f>
        <v>-2663820.4653730616</v>
      </c>
      <c r="F12" s="25" t="s">
        <v>2</v>
      </c>
      <c r="G12" s="17">
        <f>E12</f>
        <v>-2663820.4653730616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9" t="s">
        <v>117</v>
      </c>
      <c r="C17" s="90"/>
      <c r="D17" s="90"/>
      <c r="E17" s="90"/>
      <c r="F17" s="90"/>
      <c r="G17" s="90"/>
      <c r="H17" s="91"/>
      <c r="I17" s="1"/>
    </row>
    <row r="18" spans="1:9" x14ac:dyDescent="0.25">
      <c r="A18" s="1"/>
      <c r="B18" s="96" t="s">
        <v>118</v>
      </c>
      <c r="C18" s="97"/>
      <c r="D18" s="98"/>
      <c r="E18" s="11">
        <f>IF(E12&lt;0,E12,0)</f>
        <v>-2663820.4653730616</v>
      </c>
      <c r="F18" s="22" t="s">
        <v>2</v>
      </c>
      <c r="G18" s="14"/>
      <c r="H18" s="28"/>
      <c r="I18" s="1"/>
    </row>
    <row r="19" spans="1:9" x14ac:dyDescent="0.25">
      <c r="A19" s="1"/>
      <c r="B19" s="96" t="s">
        <v>113</v>
      </c>
      <c r="C19" s="97"/>
      <c r="D19" s="98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96" t="s">
        <v>119</v>
      </c>
      <c r="C20" s="97"/>
      <c r="D20" s="98"/>
      <c r="E20" s="11">
        <f>E18/E19</f>
        <v>-1331910.2326865308</v>
      </c>
      <c r="F20" s="22" t="s">
        <v>2</v>
      </c>
      <c r="G20" s="14"/>
      <c r="H20" s="28"/>
      <c r="I20" s="1"/>
    </row>
    <row r="21" spans="1:9" x14ac:dyDescent="0.25">
      <c r="A21" s="1"/>
      <c r="B21" s="89" t="s">
        <v>114</v>
      </c>
      <c r="C21" s="90"/>
      <c r="D21" s="90"/>
      <c r="E21" s="90"/>
      <c r="F21" s="91"/>
      <c r="G21" s="20">
        <f>E20</f>
        <v>-1331910.2326865308</v>
      </c>
      <c r="H21" s="21" t="s">
        <v>2</v>
      </c>
      <c r="I21" s="1"/>
    </row>
    <row r="22" spans="1:9" x14ac:dyDescent="0.25">
      <c r="A22" s="1"/>
      <c r="B22" s="89" t="s">
        <v>115</v>
      </c>
      <c r="C22" s="90"/>
      <c r="D22" s="90"/>
      <c r="E22" s="90"/>
      <c r="F22" s="91"/>
      <c r="G22" s="20">
        <f>G21*(1+Prisudvikling2019)^3</f>
        <v>-1400585.7310047084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18:D18"/>
    <mergeCell ref="B19:D19"/>
    <mergeCell ref="B20:D20"/>
    <mergeCell ref="B21:F21"/>
    <mergeCell ref="B22:F22"/>
    <mergeCell ref="B3:H4"/>
    <mergeCell ref="B8:H8"/>
    <mergeCell ref="B17:H17"/>
    <mergeCell ref="B9:D9"/>
    <mergeCell ref="B10:D10"/>
    <mergeCell ref="B11:D11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130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127</v>
      </c>
      <c r="C8" s="90"/>
      <c r="D8" s="90"/>
      <c r="E8" s="90"/>
      <c r="F8" s="90"/>
      <c r="G8" s="90"/>
      <c r="H8" s="91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x14ac:dyDescent="0.25">
      <c r="A10" s="1"/>
      <c r="B10" s="99" t="s">
        <v>134</v>
      </c>
      <c r="C10" s="100"/>
      <c r="D10" s="11"/>
      <c r="E10" s="11"/>
      <c r="F10" s="11"/>
      <c r="G10" s="11"/>
      <c r="H10" s="22" t="s">
        <v>2</v>
      </c>
      <c r="I10" s="1"/>
    </row>
    <row r="11" spans="1:9" x14ac:dyDescent="0.25">
      <c r="A11" s="1"/>
      <c r="B11" s="89" t="s">
        <v>131</v>
      </c>
      <c r="C11" s="90"/>
      <c r="D11" s="91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2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8:H8"/>
    <mergeCell ref="B11:D11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121</v>
      </c>
      <c r="C3" s="87"/>
      <c r="D3" s="87"/>
      <c r="E3" s="87"/>
      <c r="F3" s="87"/>
      <c r="G3" s="87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8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127</v>
      </c>
      <c r="C10" s="59"/>
      <c r="D10" s="60">
        <f>'Fane 8. Anlægsprojekter'!F11</f>
        <v>0</v>
      </c>
      <c r="E10" s="22" t="s">
        <v>2</v>
      </c>
      <c r="F10" s="11">
        <f>SUM('Fane 8. Anlægsprojekter'!E11,'Fane 8. Anlægsprojekter'!G11)</f>
        <v>0</v>
      </c>
      <c r="G10" s="22" t="s">
        <v>2</v>
      </c>
      <c r="H10" s="1"/>
    </row>
    <row r="11" spans="1:8" ht="15.75" customHeight="1" x14ac:dyDescent="0.25">
      <c r="A11" s="1"/>
      <c r="B11" s="101" t="s">
        <v>133</v>
      </c>
      <c r="C11" s="102"/>
      <c r="D11" s="60">
        <v>0</v>
      </c>
      <c r="E11" s="22" t="s">
        <v>2</v>
      </c>
      <c r="F11" s="11">
        <v>1152710</v>
      </c>
      <c r="G11" s="22" t="s">
        <v>2</v>
      </c>
      <c r="H11" s="1"/>
    </row>
    <row r="12" spans="1:8" x14ac:dyDescent="0.25">
      <c r="A12" s="1"/>
      <c r="B12" s="39" t="s">
        <v>69</v>
      </c>
      <c r="C12" s="41"/>
      <c r="D12" s="20">
        <f>SUM(D10:D11)</f>
        <v>0</v>
      </c>
      <c r="E12" s="21" t="s">
        <v>2</v>
      </c>
      <c r="F12" s="20">
        <f>SUM(F10:F11)</f>
        <v>1152710</v>
      </c>
      <c r="G12" s="21" t="s">
        <v>2</v>
      </c>
      <c r="H12" s="1"/>
    </row>
    <row r="13" spans="1:8" x14ac:dyDescent="0.25">
      <c r="A13" s="1"/>
      <c r="B13" s="39" t="s">
        <v>70</v>
      </c>
      <c r="C13" s="41"/>
      <c r="D13" s="20">
        <f>D12*(1+Prisudvikling2019)</f>
        <v>0</v>
      </c>
      <c r="E13" s="21" t="s">
        <v>2</v>
      </c>
      <c r="F13" s="20">
        <f>F12*(1+Prisudvikling2019)</f>
        <v>1172190.7989999999</v>
      </c>
      <c r="G13" s="21" t="s">
        <v>2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137</v>
      </c>
      <c r="C3" s="92"/>
      <c r="D3" s="92"/>
      <c r="E3" s="92"/>
      <c r="F3" s="92"/>
      <c r="G3" s="92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136</v>
      </c>
      <c r="C10" s="103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138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3.3457159770211731E-3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7" t="s">
        <v>41</v>
      </c>
      <c r="C3" s="87"/>
      <c r="D3" s="87"/>
      <c r="E3" s="87"/>
      <c r="F3" s="87"/>
      <c r="G3" s="1"/>
      <c r="I3" s="36"/>
    </row>
    <row r="4" spans="1:9" ht="15" customHeight="1" x14ac:dyDescent="0.25">
      <c r="A4" s="1"/>
      <c r="B4" s="87"/>
      <c r="C4" s="87"/>
      <c r="D4" s="87"/>
      <c r="E4" s="87"/>
      <c r="F4" s="87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48360494.238520972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Tillæg'!D13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Tillæg'!F13</f>
        <v>1172190.7989999999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866118.6736772171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-168620.08279930978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-244762.65829697737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-669594.55911180435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49315826.410990097</v>
      </c>
      <c r="D18" s="18" t="s">
        <v>2</v>
      </c>
      <c r="E18" s="17">
        <f>C18</f>
        <v>49315826.410990097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135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-(C20*(GenereltKravDrift2018+IndividueltKrav))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omk.'!E15</f>
        <v>1063584.9701964697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46" t="s">
        <v>143</v>
      </c>
      <c r="C26" s="11">
        <v>3900663</v>
      </c>
      <c r="D26" s="8" t="s">
        <v>2</v>
      </c>
      <c r="E26" s="12"/>
      <c r="F26" s="13"/>
      <c r="G26" s="1"/>
    </row>
    <row r="27" spans="1:7" ht="15" customHeight="1" x14ac:dyDescent="0.25">
      <c r="A27" s="1"/>
      <c r="B27" s="29" t="s">
        <v>80</v>
      </c>
      <c r="C27" s="17">
        <f>SUM(C24:C26)</f>
        <v>4964247.9701964697</v>
      </c>
      <c r="D27" s="18" t="s">
        <v>2</v>
      </c>
      <c r="E27" s="17">
        <f>C27</f>
        <v>4964247.9701964697</v>
      </c>
      <c r="F27" s="18" t="s">
        <v>2</v>
      </c>
      <c r="G27" s="1"/>
    </row>
    <row r="28" spans="1:7" ht="15" customHeight="1" x14ac:dyDescent="0.25">
      <c r="A28" s="1"/>
      <c r="B28" s="39" t="s">
        <v>50</v>
      </c>
      <c r="C28" s="40"/>
      <c r="D28" s="40"/>
      <c r="E28" s="40"/>
      <c r="F28" s="41"/>
      <c r="G28" s="1"/>
    </row>
    <row r="29" spans="1:7" ht="15" customHeight="1" x14ac:dyDescent="0.25">
      <c r="A29" s="1"/>
      <c r="B29" s="45" t="s">
        <v>81</v>
      </c>
      <c r="C29" s="7">
        <v>0</v>
      </c>
      <c r="D29" s="8" t="s">
        <v>2</v>
      </c>
      <c r="E29" s="33"/>
      <c r="F29" s="13"/>
      <c r="G29" s="1"/>
    </row>
    <row r="30" spans="1:7" ht="15" customHeight="1" x14ac:dyDescent="0.25">
      <c r="A30" s="1"/>
      <c r="B30" s="45" t="s">
        <v>51</v>
      </c>
      <c r="C30" s="7">
        <v>-1540202</v>
      </c>
      <c r="D30" s="8" t="s">
        <v>2</v>
      </c>
      <c r="E30" s="32"/>
      <c r="F30" s="13"/>
      <c r="G30" s="1"/>
    </row>
    <row r="31" spans="1:7" ht="28.5" customHeight="1" x14ac:dyDescent="0.25">
      <c r="A31" s="1"/>
      <c r="B31" s="46" t="s">
        <v>52</v>
      </c>
      <c r="C31" s="7">
        <v>16593.853560649051</v>
      </c>
      <c r="D31" s="8" t="s">
        <v>2</v>
      </c>
      <c r="E31" s="32"/>
      <c r="F31" s="13"/>
      <c r="G31" s="1"/>
    </row>
    <row r="32" spans="1:7" ht="15" customHeight="1" x14ac:dyDescent="0.25">
      <c r="A32" s="1"/>
      <c r="B32" s="47" t="s">
        <v>53</v>
      </c>
      <c r="C32" s="17">
        <f>SUM(C29:C31)</f>
        <v>-1523608.1464393509</v>
      </c>
      <c r="D32" s="18" t="s">
        <v>2</v>
      </c>
      <c r="E32" s="17">
        <f>C32</f>
        <v>-1523608.1464393509</v>
      </c>
      <c r="F32" s="18" t="s">
        <v>2</v>
      </c>
      <c r="G32" s="1"/>
    </row>
    <row r="33" spans="1:7" x14ac:dyDescent="0.25">
      <c r="A33" s="1"/>
      <c r="B33" s="39" t="s">
        <v>15</v>
      </c>
      <c r="C33" s="40"/>
      <c r="D33" s="40"/>
      <c r="E33" s="40"/>
      <c r="F33" s="41"/>
      <c r="G33" s="1"/>
    </row>
    <row r="34" spans="1:7" ht="15" customHeight="1" x14ac:dyDescent="0.25">
      <c r="A34" s="1"/>
      <c r="B34" s="47" t="s">
        <v>24</v>
      </c>
      <c r="C34" s="17">
        <f>'Fane 6. Hist. over el. underdæk'!G13</f>
        <v>-2527916.5</v>
      </c>
      <c r="D34" s="18" t="s">
        <v>2</v>
      </c>
      <c r="E34" s="17">
        <f>C34</f>
        <v>-2527916.5</v>
      </c>
      <c r="F34" s="18" t="s">
        <v>2</v>
      </c>
      <c r="G34" s="1"/>
    </row>
    <row r="35" spans="1:7" x14ac:dyDescent="0.25">
      <c r="A35" s="1"/>
      <c r="B35" s="39" t="s">
        <v>33</v>
      </c>
      <c r="C35" s="40"/>
      <c r="D35" s="41"/>
      <c r="E35" s="20">
        <f>SUM(E18,E22,E27,E32,E34)</f>
        <v>50228549.734747216</v>
      </c>
      <c r="F35" s="21" t="s">
        <v>2</v>
      </c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42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25</v>
      </c>
      <c r="C8" s="90"/>
      <c r="D8" s="90"/>
      <c r="E8" s="90"/>
      <c r="F8" s="91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49315826.410990097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SUM(C9:C9)*Prisudvikling2019</f>
        <v>833437.46634573257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-167785.19339025329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-243921.16427775231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-328761.00070639636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49408796.51896143</v>
      </c>
      <c r="D14" s="18" t="s">
        <v>2</v>
      </c>
      <c r="E14" s="17">
        <f>C14</f>
        <v>49408796.51896143</v>
      </c>
      <c r="F14" s="18" t="s">
        <v>2</v>
      </c>
      <c r="G14" s="1"/>
    </row>
    <row r="15" spans="1:7" ht="15" customHeight="1" x14ac:dyDescent="0.25">
      <c r="A15" s="1"/>
      <c r="B15" s="89" t="s">
        <v>74</v>
      </c>
      <c r="C15" s="90"/>
      <c r="D15" s="90"/>
      <c r="E15" s="90"/>
      <c r="F15" s="91"/>
      <c r="G15" s="1"/>
    </row>
    <row r="16" spans="1:7" ht="15" customHeight="1" x14ac:dyDescent="0.25">
      <c r="A16" s="1"/>
      <c r="B16" s="46" t="s">
        <v>135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89" t="s">
        <v>22</v>
      </c>
      <c r="C19" s="90"/>
      <c r="D19" s="90"/>
      <c r="E19" s="90"/>
      <c r="F19" s="91"/>
      <c r="G19" s="1"/>
    </row>
    <row r="20" spans="1:7" ht="15" customHeight="1" x14ac:dyDescent="0.25">
      <c r="A20" s="1"/>
      <c r="B20" s="46" t="s">
        <v>22</v>
      </c>
      <c r="C20" s="11">
        <f>'Fane 4. Ikke-påvirkelige omk.'!E15*(1+Prisudvikling2019)</f>
        <v>1081559.5561927899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6" t="s">
        <v>143</v>
      </c>
      <c r="C22" s="11">
        <v>3913784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80</v>
      </c>
      <c r="C23" s="17">
        <f>SUM(C20:C22)</f>
        <v>4995343.5561927902</v>
      </c>
      <c r="D23" s="18" t="s">
        <v>2</v>
      </c>
      <c r="E23" s="17">
        <f>C23</f>
        <v>4995343.5561927902</v>
      </c>
      <c r="F23" s="18" t="s">
        <v>2</v>
      </c>
      <c r="G23" s="1"/>
    </row>
    <row r="24" spans="1:7" x14ac:dyDescent="0.25">
      <c r="A24" s="1"/>
      <c r="B24" s="89" t="s">
        <v>15</v>
      </c>
      <c r="C24" s="90"/>
      <c r="D24" s="90"/>
      <c r="E24" s="90"/>
      <c r="F24" s="91"/>
      <c r="G24" s="1"/>
    </row>
    <row r="25" spans="1:7" ht="15" customHeight="1" x14ac:dyDescent="0.25">
      <c r="A25" s="1"/>
      <c r="B25" s="29" t="s">
        <v>24</v>
      </c>
      <c r="C25" s="17">
        <f>IF('Fane 6. Hist. over el. underdæk'!G12&gt;1,'Fane 6. Hist. over el. underdæk'!G13,0)</f>
        <v>-2527916.5</v>
      </c>
      <c r="D25" s="18" t="s">
        <v>2</v>
      </c>
      <c r="E25" s="17">
        <f>C25</f>
        <v>-2527916.5</v>
      </c>
      <c r="F25" s="18" t="s">
        <v>2</v>
      </c>
      <c r="G25" s="1"/>
    </row>
    <row r="26" spans="1:7" x14ac:dyDescent="0.25">
      <c r="A26" s="1"/>
      <c r="B26" s="89" t="s">
        <v>116</v>
      </c>
      <c r="C26" s="90"/>
      <c r="D26" s="90"/>
      <c r="E26" s="90"/>
      <c r="F26" s="91"/>
      <c r="G26" s="1"/>
    </row>
    <row r="27" spans="1:7" ht="15" customHeight="1" x14ac:dyDescent="0.25">
      <c r="A27" s="1"/>
      <c r="B27" s="29" t="s">
        <v>108</v>
      </c>
      <c r="C27" s="17">
        <f>'Fane 7. Kontrol af ØR2017'!G22</f>
        <v>-1400585.7310047084</v>
      </c>
      <c r="D27" s="18" t="s">
        <v>2</v>
      </c>
      <c r="E27" s="17">
        <f>C27</f>
        <v>-1400585.7310047084</v>
      </c>
      <c r="F27" s="18" t="s">
        <v>2</v>
      </c>
      <c r="G27" s="1"/>
    </row>
    <row r="28" spans="1:7" x14ac:dyDescent="0.25">
      <c r="A28" s="1"/>
      <c r="B28" s="39" t="s">
        <v>56</v>
      </c>
      <c r="C28" s="40"/>
      <c r="D28" s="41"/>
      <c r="E28" s="20">
        <f>SUM(E14,E18,E23,E25,E27)</f>
        <v>50475637.844149515</v>
      </c>
      <c r="F28" s="21" t="s">
        <v>2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7">
    <mergeCell ref="B3:F4"/>
    <mergeCell ref="B5:F5"/>
    <mergeCell ref="B26:F26"/>
    <mergeCell ref="B24:F24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91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49408796.51896143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C9*Prisudvikling2019</f>
        <v>835008.66117044806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-168101.50173750639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-243082.56331496537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-331408.50318225491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49501212.611897148</v>
      </c>
      <c r="D14" s="18" t="s">
        <v>2</v>
      </c>
      <c r="E14" s="17">
        <f>C14</f>
        <v>49501212.611897148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6" t="s">
        <v>135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omk.'!E15*(1+Prisudvikling2019)^2</f>
        <v>1099837.9126924479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6" t="s">
        <v>143</v>
      </c>
      <c r="C22" s="11">
        <v>3927103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80</v>
      </c>
      <c r="C23" s="17">
        <f>SUM(C20:C22)</f>
        <v>5026940.9126924481</v>
      </c>
      <c r="D23" s="18" t="s">
        <v>2</v>
      </c>
      <c r="E23" s="17">
        <f>C23</f>
        <v>5026940.9126924481</v>
      </c>
      <c r="F23" s="18" t="s">
        <v>2</v>
      </c>
      <c r="G23" s="1"/>
    </row>
    <row r="24" spans="1:7" ht="15" customHeight="1" x14ac:dyDescent="0.25">
      <c r="A24" s="1"/>
      <c r="B24" s="39" t="s">
        <v>116</v>
      </c>
      <c r="C24" s="40"/>
      <c r="D24" s="40"/>
      <c r="E24" s="40"/>
      <c r="F24" s="41"/>
      <c r="G24" s="1"/>
    </row>
    <row r="25" spans="1:7" ht="15" customHeight="1" x14ac:dyDescent="0.25">
      <c r="A25" s="1"/>
      <c r="B25" s="29" t="s">
        <v>108</v>
      </c>
      <c r="C25" s="17">
        <f>'Fane 2.2. Økonomisk ramme 2020'!C27*(1+Prisudvikling2019)</f>
        <v>-1424255.629858688</v>
      </c>
      <c r="D25" s="18" t="s">
        <v>2</v>
      </c>
      <c r="E25" s="17">
        <f>C25</f>
        <v>-1424255.629858688</v>
      </c>
      <c r="F25" s="18" t="s">
        <v>2</v>
      </c>
      <c r="G25" s="1"/>
    </row>
    <row r="26" spans="1:7" x14ac:dyDescent="0.25">
      <c r="A26" s="1"/>
      <c r="B26" s="39" t="s">
        <v>68</v>
      </c>
      <c r="C26" s="40"/>
      <c r="D26" s="41"/>
      <c r="E26" s="20">
        <f>SUM(E14,E18,E23,E25)</f>
        <v>53103897.894730911</v>
      </c>
      <c r="F26" s="21" t="s">
        <v>2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49501212.611897148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836570.49314106174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-168415.92518235283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-242246.84546228853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-334077.32591612649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49593043.008477449</v>
      </c>
      <c r="D13" s="18" t="s">
        <v>2</v>
      </c>
      <c r="E13" s="17">
        <f>C13</f>
        <v>49593043.008477449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135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omk.'!E15*(1+Prisudvikling2019)^3</f>
        <v>1118425.17341695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46" t="s">
        <v>143</v>
      </c>
      <c r="C21" s="11">
        <v>3940621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SUM(C19:C21)</f>
        <v>5059046.1734169498</v>
      </c>
      <c r="D22" s="18" t="s">
        <v>2</v>
      </c>
      <c r="E22" s="17">
        <f>C22</f>
        <v>5059046.1734169498</v>
      </c>
      <c r="F22" s="18" t="s">
        <v>2</v>
      </c>
      <c r="G22" s="1"/>
    </row>
    <row r="23" spans="1:7" x14ac:dyDescent="0.25">
      <c r="A23" s="1"/>
      <c r="B23" s="39" t="s">
        <v>78</v>
      </c>
      <c r="C23" s="40"/>
      <c r="D23" s="41"/>
      <c r="E23" s="20">
        <f>SUM(E13,E17,E22)</f>
        <v>54652089.181894399</v>
      </c>
      <c r="F23" s="21" t="s">
        <v>2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49493789.416341059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0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1133295.1778200874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0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48360494.238520972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102</v>
      </c>
      <c r="C3" s="87"/>
      <c r="D3" s="87"/>
      <c r="E3" s="87"/>
      <c r="F3" s="87"/>
      <c r="G3" s="1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111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63" t="s">
        <v>139</v>
      </c>
      <c r="C10" s="64"/>
      <c r="D10" s="65"/>
      <c r="E10" s="11">
        <v>800326</v>
      </c>
      <c r="F10" s="22" t="s">
        <v>2</v>
      </c>
      <c r="G10" s="1"/>
      <c r="H10" s="1"/>
    </row>
    <row r="11" spans="1:8" x14ac:dyDescent="0.25">
      <c r="A11" s="1"/>
      <c r="B11" s="63" t="s">
        <v>140</v>
      </c>
      <c r="C11" s="64"/>
      <c r="D11" s="65"/>
      <c r="E11" s="11">
        <v>40786</v>
      </c>
      <c r="F11" s="22" t="s">
        <v>2</v>
      </c>
      <c r="G11" s="1"/>
      <c r="H11" s="1"/>
    </row>
    <row r="12" spans="1:8" x14ac:dyDescent="0.25">
      <c r="A12" s="1"/>
      <c r="B12" s="63" t="s">
        <v>141</v>
      </c>
      <c r="C12" s="64"/>
      <c r="D12" s="65"/>
      <c r="E12" s="11">
        <v>6034</v>
      </c>
      <c r="F12" s="22" t="s">
        <v>2</v>
      </c>
      <c r="G12" s="1"/>
      <c r="H12" s="1"/>
    </row>
    <row r="13" spans="1:8" x14ac:dyDescent="0.25">
      <c r="A13" s="1"/>
      <c r="B13" s="63" t="s">
        <v>142</v>
      </c>
      <c r="C13" s="64"/>
      <c r="D13" s="65"/>
      <c r="E13" s="11">
        <v>181381</v>
      </c>
      <c r="F13" s="22" t="s">
        <v>2</v>
      </c>
      <c r="G13" s="1"/>
      <c r="H13" s="1"/>
    </row>
    <row r="14" spans="1:8" x14ac:dyDescent="0.25">
      <c r="A14" s="1"/>
      <c r="B14" s="89" t="s">
        <v>128</v>
      </c>
      <c r="C14" s="90"/>
      <c r="D14" s="91"/>
      <c r="E14" s="20">
        <f>SUM(E10:E13)</f>
        <v>1028527</v>
      </c>
      <c r="F14" s="21" t="s">
        <v>2</v>
      </c>
      <c r="G14" s="1"/>
      <c r="H14" s="1"/>
    </row>
    <row r="15" spans="1:8" x14ac:dyDescent="0.25">
      <c r="A15" s="1"/>
      <c r="B15" s="89" t="s">
        <v>129</v>
      </c>
      <c r="C15" s="90"/>
      <c r="D15" s="91"/>
      <c r="E15" s="20">
        <f>E14*(1+Prisudvikling2019)^2</f>
        <v>1063584.9701964697</v>
      </c>
      <c r="F15" s="21" t="s">
        <v>2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3">
    <mergeCell ref="B3:F4"/>
    <mergeCell ref="B14:D14"/>
    <mergeCell ref="B15:D15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245462.22564005147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12273111.282002574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659560.36284228612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37263297.335722379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3" t="s">
        <v>87</v>
      </c>
      <c r="C17" s="94"/>
      <c r="D17" s="94"/>
      <c r="E17" s="94"/>
      <c r="F17" s="95"/>
      <c r="G17" s="57">
        <v>0.02</v>
      </c>
      <c r="H17" s="22"/>
      <c r="I17" s="1"/>
    </row>
    <row r="18" spans="1:9" x14ac:dyDescent="0.25">
      <c r="A18" s="1"/>
      <c r="B18" s="93" t="s">
        <v>86</v>
      </c>
      <c r="C18" s="94"/>
      <c r="D18" s="94"/>
      <c r="E18" s="94"/>
      <c r="F18" s="95"/>
      <c r="G18" s="57">
        <v>0.02</v>
      </c>
      <c r="H18" s="22"/>
      <c r="I18" s="1"/>
    </row>
    <row r="19" spans="1:9" x14ac:dyDescent="0.25">
      <c r="A19" s="1"/>
      <c r="B19" s="93" t="s">
        <v>88</v>
      </c>
      <c r="C19" s="94"/>
      <c r="D19" s="94"/>
      <c r="E19" s="94"/>
      <c r="F19" s="95"/>
      <c r="G19" s="57">
        <v>1.77E-2</v>
      </c>
      <c r="H19" s="22"/>
      <c r="I19" s="1"/>
    </row>
    <row r="20" spans="1:9" x14ac:dyDescent="0.25">
      <c r="A20" s="1"/>
      <c r="B20" s="93" t="s">
        <v>132</v>
      </c>
      <c r="C20" s="94"/>
      <c r="D20" s="94"/>
      <c r="E20" s="94"/>
      <c r="F20" s="95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125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-25959187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-20903354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-5055833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2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-2527916.5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2018-09-06T09:43:23Z</dcterms:modified>
</cp:coreProperties>
</file>