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21" i="11"/>
  <c r="F21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6" i="19"/>
  <c r="E17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0" i="11"/>
  <c r="E24" i="15" l="1"/>
  <c r="D12" i="20"/>
  <c r="C10" i="2" s="1"/>
  <c r="C16" i="2" s="1"/>
  <c r="C12" i="15" l="1"/>
  <c r="C12" i="22" s="1"/>
  <c r="C11" i="23" s="1"/>
  <c r="E19" i="11"/>
  <c r="E21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l="1"/>
  <c r="C13" i="23" s="1"/>
  <c r="E13" i="23" s="1"/>
  <c r="E22" i="23" s="1"/>
</calcChain>
</file>

<file path=xl/sharedStrings.xml><?xml version="1.0" encoding="utf-8"?>
<sst xmlns="http://schemas.openxmlformats.org/spreadsheetml/2006/main" count="345" uniqueCount="150">
  <si>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</si>
  <si>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</si>
  <si>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</si>
  <si>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</si>
  <si>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</si>
  <si>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</si>
  <si>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</si>
  <si>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</si>
  <si>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</si>
  <si>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</si>
  <si>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</si>
  <si>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</si>
  <si>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</si>
  <si>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</si>
  <si>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</si>
  <si>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</si>
  <si>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</si>
  <si>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</si>
  <si>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</si>
  <si>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</si>
  <si>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</si>
  <si>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</si>
  <si>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</si>
  <si>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</si>
  <si>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</si>
  <si>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</si>
  <si>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</si>
  <si>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</si>
  <si>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</si>
  <si>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</si>
  <si>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</si>
  <si>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</si>
  <si>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</si>
  <si>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</si>
  <si>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</si>
  <si>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</si>
  <si>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</si>
  <si>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</si>
  <si>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</si>
  <si>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</si>
  <si>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</si>
  <si>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</si>
  <si>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</si>
  <si>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</si>
  <si>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</si>
  <si>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</si>
  <si>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</si>
  <si>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</si>
  <si>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</si>
  <si>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</si>
  <si>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</si>
  <si>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</si>
  <si>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</si>
  <si>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</si>
  <si>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</si>
  <si>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</si>
  <si>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</si>
  <si>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</si>
  <si>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</si>
  <si>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</si>
  <si>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</si>
  <si>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</si>
  <si>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</si>
  <si>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</si>
  <si>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</si>
  <si>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</si>
  <si>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</si>
  <si>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</si>
  <si>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</si>
  <si>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</si>
  <si>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</si>
  <si>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</si>
  <si>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</si>
  <si>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</si>
  <si>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</si>
  <si>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</si>
  <si>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</si>
  <si>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</si>
  <si>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</si>
  <si>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</si>
  <si>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</si>
  <si>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</si>
  <si>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</si>
  <si>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</si>
  <si>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</si>
  <si>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</si>
  <si>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</si>
  <si>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</si>
  <si>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</si>
  <si>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</si>
  <si>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</si>
  <si>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</si>
  <si>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</si>
  <si>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</si>
  <si>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</si>
  <si>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</si>
  <si>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</si>
  <si>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</si>
  <si>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</si>
  <si>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</si>
  <si>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</si>
  <si>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</si>
  <si>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</si>
  <si>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</si>
  <si>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</si>
  <si>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</si>
  <si>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</si>
  <si>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</si>
  <si>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</si>
  <si>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</si>
  <si>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</si>
  <si>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</si>
  <si>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</si>
  <si>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</si>
  <si>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</si>
  <si>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</si>
  <si>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</si>
  <si>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</si>
  <si>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</si>
  <si>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</si>
  <si>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</si>
  <si>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</si>
  <si>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</si>
  <si>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</si>
  <si>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</si>
  <si>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</si>
  <si>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</si>
  <si>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</si>
  <si>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</si>
  <si>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</si>
  <si>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</si>
  <si>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</si>
  <si>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</si>
  <si>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</si>
  <si>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</si>
  <si>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</si>
  <si>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</si>
  <si>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</si>
  <si>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Tjenestemandspensioner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</si>
  <si>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</si>
  <si>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</si>
  <si>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</si>
  <si>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</si>
  <si>
    <t>Indløb-/udløbsarrangement</t>
  </si>
  <si>
    <t>Jordbassin Klasse B</t>
  </si>
  <si>
    <t>Brønde</t>
  </si>
  <si>
    <t>Ø 200 mm &lt; Ledningsnet ≤ Ø 500 mm</t>
  </si>
  <si>
    <t>Pumpestationer m. overbygning (&lt; 20 m2), Konstruktioner</t>
  </si>
  <si>
    <t>Pumpestationer i brønde (&lt; 6,25 m2), Mek/EL</t>
  </si>
  <si>
    <t>Strømpeforing Ø 200 mm &lt; Ledningsnet ≤ Ø 500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</si>
</sst>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3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123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4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6" t="s">
        <v>31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30</v>
      </c>
      <c r="D14" s="66" t="s">
        <v>95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94</v>
      </c>
      <c r="D15" s="66" t="s">
        <v>97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96</v>
      </c>
      <c r="D16" s="66" t="s">
        <v>124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6</v>
      </c>
      <c r="D17" s="75" t="s">
        <v>98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7</v>
      </c>
      <c r="D18" s="75" t="s">
        <v>99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8</v>
      </c>
      <c r="D19" s="81" t="s">
        <v>103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9</v>
      </c>
      <c r="D20" s="70" t="s">
        <v>100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10</v>
      </c>
      <c r="D21" s="70" t="s">
        <v>122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</v>
      </c>
      <c r="D22" s="70" t="s">
        <v>104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12</v>
      </c>
      <c r="D23" s="84" t="s">
        <v>28</v>
      </c>
      <c r="E23" s="85"/>
      <c r="F23" s="85"/>
      <c r="G23" s="86"/>
      <c r="H23" s="1"/>
      <c r="I23" s="1"/>
    </row>
    <row r="24" spans="1:9" x14ac:dyDescent="0.25">
      <c r="A24" s="1"/>
      <c r="B24" s="1"/>
      <c r="C24" s="6" t="s">
        <v>26</v>
      </c>
      <c r="D24" s="78" t="s">
        <v>101</v>
      </c>
      <c r="E24" s="79"/>
      <c r="F24" s="79"/>
      <c r="G24" s="80"/>
      <c r="H24" s="1"/>
      <c r="I24" s="1"/>
    </row>
    <row r="25" spans="1:9" x14ac:dyDescent="0.25">
      <c r="A25" s="1"/>
      <c r="B25" s="1"/>
      <c r="C25" s="6" t="s">
        <v>29</v>
      </c>
      <c r="D25" s="78" t="s">
        <v>54</v>
      </c>
      <c r="E25" s="79"/>
      <c r="F25" s="79"/>
      <c r="G25" s="8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9" t="s">
        <v>105</v>
      </c>
      <c r="C9" s="100"/>
      <c r="D9" s="101"/>
      <c r="E9" s="11">
        <v>33585872.368870676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106</v>
      </c>
      <c r="C10" s="100"/>
      <c r="D10" s="101"/>
      <c r="E10" s="11">
        <v>31635296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112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3" t="s">
        <v>107</v>
      </c>
      <c r="C12" s="44"/>
      <c r="D12" s="45"/>
      <c r="E12" s="17">
        <f>E9-(E10-E11)</f>
        <v>1950576.3688706756</v>
      </c>
      <c r="F12" s="25" t="s">
        <v>2</v>
      </c>
      <c r="G12" s="17">
        <f>E12</f>
        <v>1950576.3688706756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102" t="s">
        <v>118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113</v>
      </c>
      <c r="C19" s="103"/>
      <c r="D19" s="104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119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63" t="s">
        <v>143</v>
      </c>
      <c r="C10" s="64">
        <v>75</v>
      </c>
      <c r="D10" s="11">
        <v>331737</v>
      </c>
      <c r="E10" s="11">
        <f>D10/C10</f>
        <v>4423.16</v>
      </c>
      <c r="F10" s="11">
        <v>0</v>
      </c>
      <c r="G10" s="11">
        <v>10204</v>
      </c>
      <c r="H10" s="22" t="s">
        <v>2</v>
      </c>
      <c r="I10" s="1"/>
    </row>
    <row r="11" spans="1:9" x14ac:dyDescent="0.25">
      <c r="A11" s="1"/>
      <c r="B11" s="63" t="s">
        <v>144</v>
      </c>
      <c r="C11" s="64">
        <v>50</v>
      </c>
      <c r="D11" s="11">
        <v>3952774</v>
      </c>
      <c r="E11" s="11">
        <f t="shared" ref="E11:E18" si="0">D11/C11</f>
        <v>79055.48</v>
      </c>
      <c r="F11" s="11">
        <v>0</v>
      </c>
      <c r="G11" s="11">
        <v>121590</v>
      </c>
      <c r="H11" s="22" t="s">
        <v>2</v>
      </c>
      <c r="I11" s="1"/>
    </row>
    <row r="12" spans="1:9" x14ac:dyDescent="0.25">
      <c r="A12" s="1"/>
      <c r="B12" s="63" t="s">
        <v>145</v>
      </c>
      <c r="C12" s="64">
        <v>75</v>
      </c>
      <c r="D12" s="11">
        <v>728339</v>
      </c>
      <c r="E12" s="11">
        <f t="shared" si="0"/>
        <v>9711.1866666666665</v>
      </c>
      <c r="F12" s="11">
        <v>0</v>
      </c>
      <c r="G12" s="11">
        <v>22404</v>
      </c>
      <c r="H12" s="22" t="s">
        <v>2</v>
      </c>
      <c r="I12" s="1"/>
    </row>
    <row r="13" spans="1:9" ht="26.25" x14ac:dyDescent="0.25">
      <c r="A13" s="1"/>
      <c r="B13" s="63" t="s">
        <v>146</v>
      </c>
      <c r="C13" s="64">
        <v>75</v>
      </c>
      <c r="D13" s="11">
        <v>7884756</v>
      </c>
      <c r="E13" s="11">
        <f t="shared" si="0"/>
        <v>105130.08</v>
      </c>
      <c r="F13" s="11">
        <v>0</v>
      </c>
      <c r="G13" s="11">
        <v>242540</v>
      </c>
      <c r="H13" s="22" t="s">
        <v>2</v>
      </c>
      <c r="I13" s="1"/>
    </row>
    <row r="14" spans="1:9" x14ac:dyDescent="0.25">
      <c r="A14" s="1"/>
      <c r="B14" s="63" t="s">
        <v>143</v>
      </c>
      <c r="C14" s="64">
        <v>75</v>
      </c>
      <c r="D14" s="11">
        <v>110820</v>
      </c>
      <c r="E14" s="11">
        <f t="shared" si="0"/>
        <v>1477.6</v>
      </c>
      <c r="F14" s="11">
        <v>0</v>
      </c>
      <c r="G14" s="11">
        <v>3409</v>
      </c>
      <c r="H14" s="22" t="s">
        <v>2</v>
      </c>
      <c r="I14" s="1"/>
    </row>
    <row r="15" spans="1:9" ht="39" x14ac:dyDescent="0.25">
      <c r="A15" s="1"/>
      <c r="B15" s="63" t="s">
        <v>147</v>
      </c>
      <c r="C15" s="64">
        <v>50</v>
      </c>
      <c r="D15" s="11">
        <v>407547</v>
      </c>
      <c r="E15" s="11">
        <f t="shared" si="0"/>
        <v>8150.94</v>
      </c>
      <c r="F15" s="11">
        <v>0</v>
      </c>
      <c r="G15" s="11">
        <v>12536</v>
      </c>
      <c r="H15" s="22" t="s">
        <v>2</v>
      </c>
      <c r="I15" s="1"/>
    </row>
    <row r="16" spans="1:9" ht="26.25" x14ac:dyDescent="0.25">
      <c r="A16" s="1"/>
      <c r="B16" s="63" t="s">
        <v>148</v>
      </c>
      <c r="C16" s="64">
        <v>20</v>
      </c>
      <c r="D16" s="11">
        <v>191365</v>
      </c>
      <c r="E16" s="11">
        <f t="shared" si="0"/>
        <v>9568.25</v>
      </c>
      <c r="F16" s="11">
        <v>0</v>
      </c>
      <c r="G16" s="11">
        <v>5886</v>
      </c>
      <c r="H16" s="22" t="s">
        <v>2</v>
      </c>
      <c r="I16" s="1"/>
    </row>
    <row r="17" spans="1:9" ht="26.25" x14ac:dyDescent="0.25">
      <c r="A17" s="1"/>
      <c r="B17" s="63" t="s">
        <v>146</v>
      </c>
      <c r="C17" s="64">
        <v>75</v>
      </c>
      <c r="D17" s="11">
        <v>6044614</v>
      </c>
      <c r="E17" s="11">
        <f t="shared" si="0"/>
        <v>80594.853333333333</v>
      </c>
      <c r="F17" s="11">
        <v>0</v>
      </c>
      <c r="G17" s="11">
        <v>185936</v>
      </c>
      <c r="H17" s="22" t="s">
        <v>2</v>
      </c>
      <c r="I17" s="1"/>
    </row>
    <row r="18" spans="1:9" ht="26.25" x14ac:dyDescent="0.25">
      <c r="A18" s="1"/>
      <c r="B18" s="63" t="s">
        <v>148</v>
      </c>
      <c r="C18" s="64">
        <v>20</v>
      </c>
      <c r="D18" s="11">
        <v>15606</v>
      </c>
      <c r="E18" s="11">
        <f t="shared" si="0"/>
        <v>780.3</v>
      </c>
      <c r="F18" s="11">
        <v>0</v>
      </c>
      <c r="G18" s="11">
        <v>480</v>
      </c>
      <c r="H18" s="22" t="s">
        <v>2</v>
      </c>
      <c r="I18" s="1"/>
    </row>
    <row r="19" spans="1:9" ht="26.25" x14ac:dyDescent="0.25">
      <c r="A19" s="1"/>
      <c r="B19" s="63" t="s">
        <v>149</v>
      </c>
      <c r="C19" s="64">
        <v>50</v>
      </c>
      <c r="D19" s="11">
        <v>19577</v>
      </c>
      <c r="E19" s="11">
        <f t="shared" ref="E19:E20" si="1">D19/C19</f>
        <v>391.54</v>
      </c>
      <c r="F19" s="11">
        <v>0</v>
      </c>
      <c r="G19" s="11">
        <v>602</v>
      </c>
      <c r="H19" s="22" t="s">
        <v>2</v>
      </c>
      <c r="I19" s="1"/>
    </row>
    <row r="20" spans="1:9" ht="26.25" x14ac:dyDescent="0.25">
      <c r="A20" s="1"/>
      <c r="B20" s="63" t="s">
        <v>146</v>
      </c>
      <c r="C20" s="64">
        <v>75</v>
      </c>
      <c r="D20" s="11">
        <v>1216964</v>
      </c>
      <c r="E20" s="11">
        <f t="shared" si="1"/>
        <v>16226.186666666666</v>
      </c>
      <c r="F20" s="11">
        <v>0</v>
      </c>
      <c r="G20" s="11">
        <v>37435</v>
      </c>
      <c r="H20" s="22" t="s">
        <v>2</v>
      </c>
      <c r="I20" s="1"/>
    </row>
    <row r="21" spans="1:9" x14ac:dyDescent="0.25">
      <c r="A21" s="1"/>
      <c r="B21" s="89" t="s">
        <v>131</v>
      </c>
      <c r="C21" s="90"/>
      <c r="D21" s="91"/>
      <c r="E21" s="20">
        <f>SUM(E10:E20)</f>
        <v>315509.57666666666</v>
      </c>
      <c r="F21" s="20">
        <f>SUM(F10:F20)</f>
        <v>0</v>
      </c>
      <c r="G21" s="20">
        <f>SUM(G10:G20)</f>
        <v>643022</v>
      </c>
      <c r="H21" s="21" t="s">
        <v>2</v>
      </c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password="DFE9" sheet="1" objects="1" scenarios="1"/>
  <mergeCells count="3">
    <mergeCell ref="B3:H4"/>
    <mergeCell ref="B8:H8"/>
    <mergeCell ref="B21:D2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4" t="s">
        <v>127</v>
      </c>
      <c r="C10" s="55"/>
      <c r="D10" s="56">
        <f>'Fane 8. Anlægsprojekter'!F21</f>
        <v>0</v>
      </c>
      <c r="E10" s="22" t="s">
        <v>2</v>
      </c>
      <c r="F10" s="11">
        <f>SUM('Fane 8. Anlægsprojekter'!E21,'Fane 8. Anlægsprojekter'!G21)</f>
        <v>958531.57666666666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958531.57666666666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974730.76031233324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141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4" t="s">
        <v>140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142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59" t="s">
        <v>44</v>
      </c>
      <c r="C9" s="60"/>
      <c r="D9" s="60"/>
      <c r="E9" s="61"/>
      <c r="F9" s="57">
        <v>1.7500000000000002E-2</v>
      </c>
      <c r="G9" s="58"/>
      <c r="H9" s="1"/>
    </row>
    <row r="10" spans="1:8" x14ac:dyDescent="0.25">
      <c r="A10" s="1"/>
      <c r="B10" s="59" t="s">
        <v>45</v>
      </c>
      <c r="C10" s="60"/>
      <c r="D10" s="60"/>
      <c r="E10" s="61"/>
      <c r="F10" s="57">
        <v>1.6899999999999998E-2</v>
      </c>
      <c r="G10" s="58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59" t="s">
        <v>13</v>
      </c>
      <c r="C14" s="60"/>
      <c r="D14" s="60"/>
      <c r="E14" s="61"/>
      <c r="F14" s="57">
        <v>0.02</v>
      </c>
      <c r="G14" s="58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62" t="s">
        <v>49</v>
      </c>
      <c r="C9" s="7">
        <f>'Fane 3. Omkostninger i ØR2018'!G13</f>
        <v>31748680.102369748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2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2" t="s">
        <v>63</v>
      </c>
      <c r="C11" s="11">
        <f>'Fane 9. Tillæg'!F12</f>
        <v>974730.76031233324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2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2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2" t="s">
        <v>37</v>
      </c>
      <c r="C14" s="11">
        <f>C9*Prisudvikling2018+SUM(C10:C13)*Prisudvikling2019</f>
        <v>572074.85164074902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2" t="s">
        <v>13</v>
      </c>
      <c r="C15" s="11">
        <f>-SUM(C9:C14)*IndividueltKrav</f>
        <v>-665909.7142864567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2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-232786.2843519712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62</v>
      </c>
      <c r="C17" s="11">
        <f>-(('Fane 5. Generelt eff. krav'!G12-'Fane 5. Generelt eff. krav'!G11)*(1+Prisudvikling2018)*GenereltKravAnlæg2018+SUM(C11,C13)*(1+Prisudvikling2019)*GenereltKravAnlæg2019)</f>
        <v>-386660.70958250685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3" t="s">
        <v>40</v>
      </c>
      <c r="C18" s="17">
        <f>SUM(C9:C17)</f>
        <v>32010129.006101895</v>
      </c>
      <c r="D18" s="18" t="s">
        <v>2</v>
      </c>
      <c r="E18" s="17">
        <f>C18</f>
        <v>32010129.006101895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139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2" t="s">
        <v>22</v>
      </c>
      <c r="C24" s="11">
        <f>'Fane 4. Ikke-påvirkelige omk.'!E17</f>
        <v>1118186.3035780215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2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1118186.3035780215</v>
      </c>
      <c r="D26" s="18" t="s">
        <v>2</v>
      </c>
      <c r="E26" s="17">
        <f>C26</f>
        <v>1118186.3035780215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62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62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2" t="s">
        <v>52</v>
      </c>
      <c r="C30" s="7">
        <v>4480.293858258904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3" t="s">
        <v>53</v>
      </c>
      <c r="C31" s="17">
        <f>SUM(C28:C30)</f>
        <v>4480.293858258904</v>
      </c>
      <c r="D31" s="18" t="s">
        <v>2</v>
      </c>
      <c r="E31" s="17">
        <f>C31</f>
        <v>4480.293858258904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3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33132795.603538178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62" t="s">
        <v>55</v>
      </c>
      <c r="C9" s="7">
        <f>'Fane 2.1. Økonomisk ramme 2019'!E18</f>
        <v>32010129.006101895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SUM(C9:C9)*Prisudvikling2019</f>
        <v>540971.18020312197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-651022.00372610032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('Fane 2.1. Økonomisk ramme 2019'!C16/GenereltKravDrift2018-'Fane 2.1. Økonomisk ramme 2019'!C16)*(1+Prisudvikling2019)*GenereltKravDrift2019</f>
        <v>-231985.96510636911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2" t="s">
        <v>62</v>
      </c>
      <c r="C13" s="11">
        <f>(('Fane 2.1. Økonomisk ramme 2019'!C17/GenereltKravAnlæg2018-'Fane 2.1. Økonomisk ramme 2019'!C17)*(1+Prisudvikling2019)*GenereltKravAnlæg2019)</f>
        <v>-189844.67553740198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3" t="s">
        <v>40</v>
      </c>
      <c r="C14" s="17">
        <f>SUM(C9:C13)</f>
        <v>31478247.541935146</v>
      </c>
      <c r="D14" s="18" t="s">
        <v>2</v>
      </c>
      <c r="E14" s="17">
        <f>C14</f>
        <v>31478247.541935146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2" t="s">
        <v>139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2" t="s">
        <v>22</v>
      </c>
      <c r="C20" s="11">
        <f>'Fane 4. Ikke-påvirkelige omk.'!E17*(1+Prisudvikling2019)</f>
        <v>1137083.65210849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1137083.65210849</v>
      </c>
      <c r="D22" s="18" t="s">
        <v>2</v>
      </c>
      <c r="E22" s="17">
        <f>C22</f>
        <v>1137083.65210849</v>
      </c>
      <c r="F22" s="18" t="s">
        <v>2</v>
      </c>
      <c r="G22" s="1"/>
    </row>
    <row r="23" spans="1:7" x14ac:dyDescent="0.25">
      <c r="A23" s="1"/>
      <c r="B23" s="89" t="s">
        <v>15</v>
      </c>
      <c r="C23" s="90"/>
      <c r="D23" s="90"/>
      <c r="E23" s="90"/>
      <c r="F23" s="91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89" t="s">
        <v>116</v>
      </c>
      <c r="C25" s="90"/>
      <c r="D25" s="90"/>
      <c r="E25" s="90"/>
      <c r="F25" s="91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32615331.194043636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62" t="s">
        <v>57</v>
      </c>
      <c r="C9" s="7">
        <f>'Fane 2.2. Økonomisk ramme 2020'!E14</f>
        <v>31478247.541935146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C9*Prisudvikling2019</f>
        <v>531982.38345870387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-640204.59850787697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(('Fane 2.2. Økonomisk ramme 2020'!C12/GenereltKravDrift2019-'Fane 2.2. Økonomisk ramme 2020'!C12)*(1+Prisudvikling2019)*GenereltKravDrift2019)</f>
        <v>-231188.39735833337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2" t="s">
        <v>62</v>
      </c>
      <c r="C13" s="11">
        <f>(('Fane 2.2. Økonomisk ramme 2020'!C13/GenereltKravAnlæg2019-'Fane 2.2. Økonomisk ramme 2020'!C13)*(1+Prisudvikling2019)*GenereltKravAnlæg2019)</f>
        <v>-191373.4890141644</v>
      </c>
      <c r="D13" s="8" t="s">
        <v>2</v>
      </c>
      <c r="E13" s="15"/>
      <c r="F13" s="16"/>
      <c r="G13" s="1"/>
    </row>
    <row r="14" spans="1:7" x14ac:dyDescent="0.25">
      <c r="A14" s="1"/>
      <c r="B14" s="43" t="s">
        <v>40</v>
      </c>
      <c r="C14" s="17">
        <f>SUM(C9:C13)</f>
        <v>30947463.440513477</v>
      </c>
      <c r="D14" s="18" t="s">
        <v>2</v>
      </c>
      <c r="E14" s="17">
        <f>C14</f>
        <v>30947463.440513477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2" t="s">
        <v>139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22</v>
      </c>
      <c r="C20" s="11">
        <f>'Fane 4. Ikke-påvirkelige omk.'!E17*(1+Prisudvikling2019)^2</f>
        <v>1156300.3658291232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1156300.3658291232</v>
      </c>
      <c r="D22" s="18" t="s">
        <v>2</v>
      </c>
      <c r="E22" s="17">
        <f>C22</f>
        <v>1156300.3658291232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32103763.806342602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62" t="s">
        <v>58</v>
      </c>
      <c r="C8" s="7">
        <f>'Fane 2.3. Økonomisk ramme 2021'!E14</f>
        <v>30947463.440513477</v>
      </c>
      <c r="D8" s="8" t="s">
        <v>2</v>
      </c>
      <c r="E8" s="9"/>
      <c r="F8" s="10"/>
      <c r="G8" s="1"/>
    </row>
    <row r="9" spans="1:7" ht="15" customHeight="1" x14ac:dyDescent="0.25">
      <c r="A9" s="1"/>
      <c r="B9" s="42" t="s">
        <v>37</v>
      </c>
      <c r="C9" s="11">
        <f>C8*Prisudvikling2019</f>
        <v>523012.13214467769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2" t="s">
        <v>13</v>
      </c>
      <c r="C10" s="11">
        <f>-SUM(C8:C9)*IndividueltKrav</f>
        <v>-629409.51145316311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61</v>
      </c>
      <c r="C11" s="11">
        <f>('Fane 2.3. Økonomisk ramme 2021'!C12/GenereltKravDrift2019-'Fane 2.3. Økonomisk ramme 2021'!C12)*(1+Prisudvikling2019)*GenereltKravDrift2019</f>
        <v>-230393.57164821541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2" t="s">
        <v>62</v>
      </c>
      <c r="C12" s="11">
        <f>('Fane 2.3. Økonomisk ramme 2021'!C13/GenereltKravAnlæg2019-'Fane 2.3. Økonomisk ramme 2021'!C13)*(1+Prisudvikling2019)*GenereltKravAnlæg2019</f>
        <v>-192914.6139799908</v>
      </c>
      <c r="D12" s="8" t="s">
        <v>2</v>
      </c>
      <c r="E12" s="15"/>
      <c r="F12" s="16"/>
      <c r="G12" s="1"/>
    </row>
    <row r="13" spans="1:7" x14ac:dyDescent="0.25">
      <c r="A13" s="1"/>
      <c r="B13" s="43" t="s">
        <v>40</v>
      </c>
      <c r="C13" s="17">
        <f>SUM(C8:C12)</f>
        <v>30417757.875576787</v>
      </c>
      <c r="D13" s="18" t="s">
        <v>2</v>
      </c>
      <c r="E13" s="17">
        <f>C13</f>
        <v>30417757.875576787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2" t="s">
        <v>139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2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2" t="s">
        <v>22</v>
      </c>
      <c r="C19" s="11">
        <f>'Fane 4. Ikke-påvirkelige omk.'!E17*(1+Prisudvikling2019)^3</f>
        <v>1175841.8420116352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2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1175841.8420116352</v>
      </c>
      <c r="D21" s="18" t="s">
        <v>2</v>
      </c>
      <c r="E21" s="17">
        <f>C21</f>
        <v>1175841.8420116352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31593599.717588421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59" t="s">
        <v>32</v>
      </c>
      <c r="C9" s="60"/>
      <c r="D9" s="60"/>
      <c r="E9" s="60"/>
      <c r="F9" s="61"/>
      <c r="G9" s="11">
        <v>32997900.121375524</v>
      </c>
      <c r="H9" s="22" t="s">
        <v>2</v>
      </c>
      <c r="I9" s="1"/>
    </row>
    <row r="10" spans="1:9" x14ac:dyDescent="0.25">
      <c r="A10" s="1"/>
      <c r="B10" s="46" t="s">
        <v>73</v>
      </c>
      <c r="C10" s="60"/>
      <c r="D10" s="60"/>
      <c r="E10" s="60"/>
      <c r="F10" s="61"/>
      <c r="G10" s="11">
        <v>0</v>
      </c>
      <c r="H10" s="22" t="s">
        <v>2</v>
      </c>
      <c r="I10" s="1"/>
    </row>
    <row r="11" spans="1:9" x14ac:dyDescent="0.25">
      <c r="A11" s="1"/>
      <c r="B11" s="46" t="s">
        <v>48</v>
      </c>
      <c r="C11" s="60"/>
      <c r="D11" s="60"/>
      <c r="E11" s="60"/>
      <c r="F11" s="61"/>
      <c r="G11" s="11">
        <v>1249220.0190057768</v>
      </c>
      <c r="H11" s="22" t="s">
        <v>2</v>
      </c>
      <c r="I11" s="1"/>
    </row>
    <row r="12" spans="1:9" x14ac:dyDescent="0.25">
      <c r="A12" s="1"/>
      <c r="B12" s="46" t="s">
        <v>75</v>
      </c>
      <c r="C12" s="60"/>
      <c r="D12" s="60"/>
      <c r="E12" s="60"/>
      <c r="F12" s="61"/>
      <c r="G12" s="11">
        <v>0</v>
      </c>
      <c r="H12" s="22" t="s">
        <v>2</v>
      </c>
      <c r="I12" s="1"/>
    </row>
    <row r="13" spans="1:9" ht="26.25" customHeight="1" x14ac:dyDescent="0.25">
      <c r="A13" s="1"/>
      <c r="B13" s="47" t="s">
        <v>59</v>
      </c>
      <c r="C13" s="40"/>
      <c r="D13" s="40"/>
      <c r="E13" s="40"/>
      <c r="F13" s="41"/>
      <c r="G13" s="34">
        <f>G9-G10-G11</f>
        <v>31748680.102369748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3" t="s">
        <v>111</v>
      </c>
      <c r="C9" s="30"/>
      <c r="D9" s="37"/>
      <c r="E9" s="48" t="s">
        <v>47</v>
      </c>
      <c r="F9" s="18"/>
      <c r="G9" s="1"/>
      <c r="H9" s="1"/>
    </row>
    <row r="10" spans="1:8" x14ac:dyDescent="0.25">
      <c r="A10" s="1"/>
      <c r="B10" s="93" t="s">
        <v>133</v>
      </c>
      <c r="C10" s="94"/>
      <c r="D10" s="95"/>
      <c r="E10" s="11">
        <v>464053</v>
      </c>
      <c r="F10" s="22" t="s">
        <v>2</v>
      </c>
      <c r="G10" s="1"/>
      <c r="H10" s="1"/>
    </row>
    <row r="11" spans="1:8" x14ac:dyDescent="0.25">
      <c r="A11" s="1"/>
      <c r="B11" s="93" t="s">
        <v>134</v>
      </c>
      <c r="C11" s="94"/>
      <c r="D11" s="95"/>
      <c r="E11" s="11">
        <v>34539</v>
      </c>
      <c r="F11" s="22" t="s">
        <v>2</v>
      </c>
      <c r="G11" s="1"/>
      <c r="H11" s="1"/>
    </row>
    <row r="12" spans="1:8" ht="30" customHeight="1" x14ac:dyDescent="0.25">
      <c r="A12" s="1"/>
      <c r="B12" s="96" t="s">
        <v>135</v>
      </c>
      <c r="C12" s="97"/>
      <c r="D12" s="98"/>
      <c r="E12" s="11">
        <v>378401</v>
      </c>
      <c r="F12" s="22" t="s">
        <v>2</v>
      </c>
      <c r="G12" s="1"/>
      <c r="H12" s="1"/>
    </row>
    <row r="13" spans="1:8" x14ac:dyDescent="0.25">
      <c r="A13" s="1"/>
      <c r="B13" s="93" t="s">
        <v>136</v>
      </c>
      <c r="C13" s="94"/>
      <c r="D13" s="95"/>
      <c r="E13" s="11">
        <v>57177</v>
      </c>
      <c r="F13" s="22" t="s">
        <v>2</v>
      </c>
      <c r="G13" s="1"/>
      <c r="H13" s="1"/>
    </row>
    <row r="14" spans="1:8" x14ac:dyDescent="0.25">
      <c r="A14" s="1"/>
      <c r="B14" s="93" t="s">
        <v>137</v>
      </c>
      <c r="C14" s="94"/>
      <c r="D14" s="95"/>
      <c r="E14" s="11">
        <v>45097</v>
      </c>
      <c r="F14" s="22" t="s">
        <v>2</v>
      </c>
      <c r="G14" s="1"/>
      <c r="H14" s="1"/>
    </row>
    <row r="15" spans="1:8" x14ac:dyDescent="0.25">
      <c r="A15" s="1"/>
      <c r="B15" s="93" t="s">
        <v>138</v>
      </c>
      <c r="C15" s="94"/>
      <c r="D15" s="95"/>
      <c r="E15" s="11">
        <v>102061.56</v>
      </c>
      <c r="F15" s="22" t="s">
        <v>2</v>
      </c>
      <c r="G15" s="1"/>
      <c r="H15" s="1"/>
    </row>
    <row r="16" spans="1:8" x14ac:dyDescent="0.25">
      <c r="A16" s="1"/>
      <c r="B16" s="89" t="s">
        <v>128</v>
      </c>
      <c r="C16" s="90"/>
      <c r="D16" s="91"/>
      <c r="E16" s="20">
        <f>SUM(E10:E15)</f>
        <v>1081328.56</v>
      </c>
      <c r="F16" s="21" t="s">
        <v>2</v>
      </c>
      <c r="G16" s="1"/>
      <c r="H16" s="1"/>
    </row>
    <row r="17" spans="1:8" x14ac:dyDescent="0.25">
      <c r="A17" s="1"/>
      <c r="B17" s="89" t="s">
        <v>129</v>
      </c>
      <c r="C17" s="90"/>
      <c r="D17" s="91"/>
      <c r="E17" s="20">
        <f>E16*(1+Prisudvikling2019)^2</f>
        <v>1118186.3035780215</v>
      </c>
      <c r="F17" s="21" t="s">
        <v>2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9">
    <mergeCell ref="B3:F4"/>
    <mergeCell ref="B16:D16"/>
    <mergeCell ref="B17:D17"/>
    <mergeCell ref="B10:D10"/>
    <mergeCell ref="B14:D14"/>
    <mergeCell ref="B15:D15"/>
    <mergeCell ref="B13:D13"/>
    <mergeCell ref="B12:D12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59" t="s">
        <v>82</v>
      </c>
      <c r="C9" s="60"/>
      <c r="D9" s="60"/>
      <c r="E9" s="60"/>
      <c r="F9" s="61"/>
      <c r="G9" s="52">
        <v>233451.62147316971</v>
      </c>
      <c r="H9" s="22" t="s">
        <v>2</v>
      </c>
      <c r="I9" s="1"/>
    </row>
    <row r="10" spans="1:9" x14ac:dyDescent="0.25">
      <c r="A10" s="1"/>
      <c r="B10" s="59" t="s">
        <v>83</v>
      </c>
      <c r="C10" s="60"/>
      <c r="D10" s="60"/>
      <c r="E10" s="60"/>
      <c r="F10" s="61"/>
      <c r="G10" s="52">
        <f>G9/GenereltKravDrift2018</f>
        <v>11672581.073658485</v>
      </c>
      <c r="H10" s="22" t="s">
        <v>2</v>
      </c>
      <c r="I10" s="1"/>
    </row>
    <row r="11" spans="1:9" x14ac:dyDescent="0.25">
      <c r="A11" s="1"/>
      <c r="B11" s="59" t="s">
        <v>84</v>
      </c>
      <c r="C11" s="60"/>
      <c r="D11" s="60"/>
      <c r="E11" s="60"/>
      <c r="F11" s="61"/>
      <c r="G11" s="52">
        <v>378230.04006702499</v>
      </c>
      <c r="H11" s="22" t="s">
        <v>2</v>
      </c>
      <c r="I11" s="1"/>
    </row>
    <row r="12" spans="1:9" x14ac:dyDescent="0.25">
      <c r="A12" s="1"/>
      <c r="B12" s="59" t="s">
        <v>85</v>
      </c>
      <c r="C12" s="60"/>
      <c r="D12" s="60"/>
      <c r="E12" s="60"/>
      <c r="F12" s="61"/>
      <c r="G12" s="52">
        <f>G11/GenereltKravAnlæg2018</f>
        <v>21368928.817346044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87</v>
      </c>
      <c r="C17" s="100"/>
      <c r="D17" s="100"/>
      <c r="E17" s="100"/>
      <c r="F17" s="101"/>
      <c r="G17" s="53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3">
        <v>0.02</v>
      </c>
      <c r="H18" s="22"/>
      <c r="I18" s="1"/>
    </row>
    <row r="19" spans="1:9" x14ac:dyDescent="0.25">
      <c r="A19" s="1"/>
      <c r="B19" s="99" t="s">
        <v>88</v>
      </c>
      <c r="C19" s="100"/>
      <c r="D19" s="100"/>
      <c r="E19" s="100"/>
      <c r="F19" s="101"/>
      <c r="G19" s="53">
        <v>1.77E-2</v>
      </c>
      <c r="H19" s="22"/>
      <c r="I19" s="1"/>
    </row>
    <row r="20" spans="1:9" x14ac:dyDescent="0.25">
      <c r="A20" s="1"/>
      <c r="B20" s="99" t="s">
        <v>132</v>
      </c>
      <c r="C20" s="100"/>
      <c r="D20" s="100"/>
      <c r="E20" s="100"/>
      <c r="F20" s="101"/>
      <c r="G20" s="53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59" t="s">
        <v>17</v>
      </c>
      <c r="C9" s="60"/>
      <c r="D9" s="60"/>
      <c r="E9" s="60"/>
      <c r="F9" s="61"/>
      <c r="G9" s="11">
        <v>-533417</v>
      </c>
      <c r="H9" s="22" t="s">
        <v>2</v>
      </c>
      <c r="I9" s="1"/>
    </row>
    <row r="10" spans="1:9" x14ac:dyDescent="0.25">
      <c r="A10" s="1"/>
      <c r="B10" s="59" t="s">
        <v>46</v>
      </c>
      <c r="C10" s="60"/>
      <c r="D10" s="60"/>
      <c r="E10" s="60"/>
      <c r="F10" s="61"/>
      <c r="G10" s="11">
        <v>-533417</v>
      </c>
      <c r="H10" s="22" t="s">
        <v>2</v>
      </c>
      <c r="I10" s="1"/>
    </row>
    <row r="11" spans="1:9" x14ac:dyDescent="0.25">
      <c r="A11" s="1"/>
      <c r="B11" s="49" t="s">
        <v>20</v>
      </c>
      <c r="C11" s="50"/>
      <c r="D11" s="50"/>
      <c r="E11" s="50"/>
      <c r="F11" s="51"/>
      <c r="G11" s="31">
        <f>G9-G10</f>
        <v>0</v>
      </c>
      <c r="H11" s="26" t="s">
        <v>2</v>
      </c>
      <c r="I11" s="1"/>
    </row>
    <row r="12" spans="1:9" x14ac:dyDescent="0.25">
      <c r="A12" s="1"/>
      <c r="B12" s="59" t="s">
        <v>18</v>
      </c>
      <c r="C12" s="60"/>
      <c r="D12" s="60"/>
      <c r="E12" s="60"/>
      <c r="F12" s="61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2018-09-06T09:43:57Z</dcterms:modified>
</cp:coreProperties>
</file>