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E10" i="11" l="1"/>
  <c r="G12" i="11"/>
  <c r="F12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/>
  <c r="E12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1" i="15" s="1"/>
  <c r="C14" i="15" l="1"/>
  <c r="E14" i="15" s="1"/>
  <c r="E27" i="15" s="1"/>
  <c r="C9" i="22" l="1"/>
  <c r="C10" i="22" l="1"/>
  <c r="C11" i="22" s="1"/>
  <c r="C14" i="22" l="1"/>
  <c r="E14" i="22" s="1"/>
  <c r="E25" i="22" s="1"/>
  <c r="C8" i="23" l="1"/>
  <c r="C9" i="23" l="1"/>
  <c r="C10" i="23" l="1"/>
  <c r="C13" i="23" s="1"/>
  <c r="E13" i="23" s="1"/>
  <c r="E22" i="23" s="1"/>
</calcChain>
</file>

<file path=xl/sharedStrings.xml><?xml version="1.0" encoding="utf-8"?>
<sst xmlns="http://schemas.openxmlformats.org/spreadsheetml/2006/main" count="323" uniqueCount="143">
  <si>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</si>
  <si>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</si>
  <si>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</si>
  <si>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</si>
  <si>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</si>
  <si>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</si>
  <si>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</si>
  <si>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</si>
  <si>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</si>
  <si>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</si>
  <si>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</si>
  <si>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</si>
  <si>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</si>
  <si>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</si>
  <si>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</si>
  <si>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</si>
  <si>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</si>
  <si>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</si>
  <si>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</si>
  <si>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</si>
  <si>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</si>
  <si>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</si>
  <si>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</si>
  <si>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</si>
  <si>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</si>
  <si>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</si>
  <si>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</si>
  <si>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</si>
  <si>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</si>
  <si>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</si>
  <si>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</si>
  <si>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</si>
  <si>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</si>
  <si>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</si>
  <si>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</si>
  <si>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</si>
  <si>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</si>
  <si>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</si>
  <si>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</si>
  <si>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</si>
  <si>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</si>
  <si>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</si>
  <si>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</si>
  <si>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</si>
  <si>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</si>
  <si>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</si>
  <si>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</si>
  <si>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</si>
  <si>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</si>
  <si>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</si>
  <si>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</si>
  <si>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</si>
  <si>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</si>
  <si>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</si>
  <si>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</si>
  <si>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</si>
  <si>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</si>
  <si>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</si>
  <si>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</si>
  <si>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</si>
  <si>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</si>
  <si>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</si>
  <si>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</si>
  <si>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</si>
  <si>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</si>
  <si>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</si>
  <si>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</si>
  <si>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</si>
  <si>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</si>
  <si>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</si>
  <si>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</si>
  <si>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</si>
  <si>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</si>
  <si>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</si>
  <si>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</si>
  <si>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</si>
  <si>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</si>
  <si>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</si>
  <si>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</si>
  <si>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</si>
  <si>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</si>
  <si>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</si>
  <si>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</si>
  <si>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</si>
  <si>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</si>
  <si>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</si>
  <si>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</si>
  <si>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</si>
  <si>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</si>
  <si>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</si>
  <si>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</si>
  <si>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</si>
  <si>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</si>
  <si>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</si>
  <si>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</si>
  <si>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</si>
  <si>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</si>
  <si>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</si>
  <si>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</si>
  <si>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</si>
  <si>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</si>
  <si>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</si>
  <si>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</si>
  <si>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</si>
  <si>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</si>
  <si>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</si>
  <si>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</si>
  <si>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</si>
  <si>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</si>
  <si>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</si>
  <si>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</si>
  <si>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</si>
  <si>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</si>
  <si>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</si>
  <si>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</si>
  <si>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</si>
  <si>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</si>
  <si>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</si>
  <si>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</si>
  <si>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</si>
  <si>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</si>
  <si>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</si>
  <si>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</si>
  <si>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</si>
  <si>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</si>
  <si>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</si>
  <si>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</si>
  <si>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</si>
  <si>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</si>
  <si>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</si>
  <si>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</si>
  <si>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</si>
  <si>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</si>
  <si>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</si>
  <si>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</si>
  <si>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</si>
  <si>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</si>
  <si>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</si>
  <si>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</si>
  <si>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</si>
  <si>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</si>
  <si>
    <t>Ledningsnet ≤ Ø 200 mm</t>
  </si>
  <si>
    <t>El tavler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</si>
</sst>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105</v>
      </c>
      <c r="C9" s="100"/>
      <c r="D9" s="101"/>
      <c r="E9" s="11">
        <v>82911061.83107847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106</v>
      </c>
      <c r="C10" s="100"/>
      <c r="D10" s="101"/>
      <c r="E10" s="11">
        <v>69044581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112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3" t="s">
        <v>107</v>
      </c>
      <c r="C12" s="44"/>
      <c r="D12" s="45"/>
      <c r="E12" s="17">
        <f>E9-(E10-E11)</f>
        <v>13866480.83107847</v>
      </c>
      <c r="F12" s="25" t="s">
        <v>2</v>
      </c>
      <c r="G12" s="17">
        <f>E12</f>
        <v>13866480.83107847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118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113</v>
      </c>
      <c r="C19" s="103"/>
      <c r="D19" s="104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119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x14ac:dyDescent="0.25">
      <c r="A10" s="1"/>
      <c r="B10" s="59" t="s">
        <v>141</v>
      </c>
      <c r="C10" s="60">
        <v>75</v>
      </c>
      <c r="D10" s="11">
        <v>140087</v>
      </c>
      <c r="E10" s="11">
        <f>D10/C10</f>
        <v>1867.8266666666666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59" t="s">
        <v>142</v>
      </c>
      <c r="C11" s="60">
        <v>25</v>
      </c>
      <c r="D11" s="11">
        <v>2702409</v>
      </c>
      <c r="E11" s="11">
        <f t="shared" ref="E11" si="0">D11/C11</f>
        <v>108096.36</v>
      </c>
      <c r="F11" s="11">
        <v>0</v>
      </c>
      <c r="G11" s="11">
        <v>0</v>
      </c>
      <c r="H11" s="22" t="s">
        <v>2</v>
      </c>
      <c r="I11" s="1"/>
    </row>
    <row r="12" spans="1:9" x14ac:dyDescent="0.25">
      <c r="A12" s="1"/>
      <c r="B12" s="89" t="s">
        <v>131</v>
      </c>
      <c r="C12" s="90"/>
      <c r="D12" s="91"/>
      <c r="E12" s="20">
        <f>SUM(E10:E11)</f>
        <v>109964.18666666666</v>
      </c>
      <c r="F12" s="20">
        <f>SUM(F10:F11)</f>
        <v>0</v>
      </c>
      <c r="G12" s="20">
        <f>SUM(G10:G11)</f>
        <v>0</v>
      </c>
      <c r="H12" s="21" t="s">
        <v>2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8:H8"/>
    <mergeCell ref="B12:D12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127</v>
      </c>
      <c r="C10" s="55"/>
      <c r="D10" s="56">
        <f>'Fane 8. Anlægsprojekter'!F12</f>
        <v>0</v>
      </c>
      <c r="E10" s="22" t="s">
        <v>2</v>
      </c>
      <c r="F10" s="11">
        <f>SUM('Fane 8. Anlægsprojekter'!E12,'Fane 8. Anlægsprojekter'!G12)</f>
        <v>109964.18666666666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109964.18666666666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111822.58142133332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139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4" t="s">
        <v>138</v>
      </c>
      <c r="C10" s="61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2" t="s">
        <v>44</v>
      </c>
      <c r="C9" s="63"/>
      <c r="D9" s="63"/>
      <c r="E9" s="64"/>
      <c r="F9" s="57">
        <v>1.7500000000000002E-2</v>
      </c>
      <c r="G9" s="58"/>
      <c r="H9" s="1"/>
    </row>
    <row r="10" spans="1:8" x14ac:dyDescent="0.25">
      <c r="A10" s="1"/>
      <c r="B10" s="62" t="s">
        <v>45</v>
      </c>
      <c r="C10" s="63"/>
      <c r="D10" s="63"/>
      <c r="E10" s="64"/>
      <c r="F10" s="57">
        <v>1.6899999999999998E-2</v>
      </c>
      <c r="G10" s="58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2" t="s">
        <v>13</v>
      </c>
      <c r="C14" s="63"/>
      <c r="D14" s="63"/>
      <c r="E14" s="64"/>
      <c r="F14" s="57">
        <v>1.0680207734851588E-2</v>
      </c>
      <c r="G14" s="58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65" t="s">
        <v>49</v>
      </c>
      <c r="C9" s="7">
        <f>'Fane 3. Omkostninger i ØR2018'!G13</f>
        <v>74412431.875922725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2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2" t="s">
        <v>63</v>
      </c>
      <c r="C11" s="11">
        <f>'Fane 9. Tillæg'!F12</f>
        <v>111822.58142133332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2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2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2" t="s">
        <v>37</v>
      </c>
      <c r="C14" s="11">
        <f>C9*Prisudvikling2018+SUM(C10:C13)*Prisudvikling2019</f>
        <v>1304107.3594546684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2" t="s">
        <v>13</v>
      </c>
      <c r="C15" s="11">
        <f>-SUM(C9:C14)*IndividueltKrav</f>
        <v>-809862.65639689844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2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-509656.0634488925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62</v>
      </c>
      <c r="C17" s="11">
        <f>-(('Fane 5. Generelt eff. krav'!G12-'Fane 5. Generelt eff. krav'!G11)*(1+Prisudvikling2018)*GenereltKravAnlæg2018+SUM(C11,C13)*(1+Prisudvikling2019)*GenereltKravAnlæg2019)</f>
        <v>-909146.91547965293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3" t="s">
        <v>40</v>
      </c>
      <c r="C18" s="17">
        <f>SUM(C9:C17)</f>
        <v>73599696.18147327</v>
      </c>
      <c r="D18" s="18" t="s">
        <v>2</v>
      </c>
      <c r="E18" s="17">
        <f>C18</f>
        <v>73599696.18147327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137</v>
      </c>
      <c r="C20" s="11">
        <v>2977705.6100000003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76</v>
      </c>
      <c r="C21" s="11">
        <f>-(C20*(GenereltKravDrift2018+IndividueltKrav))</f>
        <v>-91356.626688032979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2886348.9833119675</v>
      </c>
      <c r="D22" s="18" t="s">
        <v>2</v>
      </c>
      <c r="E22" s="17">
        <f>C22</f>
        <v>2886348.9833119675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2" t="s">
        <v>22</v>
      </c>
      <c r="C24" s="11">
        <f>'Fane 4. Ikke-påvirkelige omk.'!E15</f>
        <v>1421921.0415449075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2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1421921.0415449075</v>
      </c>
      <c r="D26" s="18" t="s">
        <v>2</v>
      </c>
      <c r="E26" s="17">
        <f>C26</f>
        <v>1421921.0415449075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65" t="s">
        <v>81</v>
      </c>
      <c r="C28" s="7">
        <v>548011.79908103845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6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2" t="s">
        <v>52</v>
      </c>
      <c r="C30" s="7">
        <v>13436.647214504586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3" t="s">
        <v>53</v>
      </c>
      <c r="C31" s="17">
        <f>SUM(C28:C30)</f>
        <v>561448.44629554299</v>
      </c>
      <c r="D31" s="18" t="s">
        <v>2</v>
      </c>
      <c r="E31" s="17">
        <f>C31</f>
        <v>561448.44629554299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3" t="s">
        <v>24</v>
      </c>
      <c r="C33" s="17">
        <f>'Fane 6. Hist. over el. underdæk'!G13</f>
        <v>-738994</v>
      </c>
      <c r="D33" s="18" t="s">
        <v>2</v>
      </c>
      <c r="E33" s="17">
        <f>C33</f>
        <v>-738994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77730420.652625695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65" t="s">
        <v>55</v>
      </c>
      <c r="C9" s="7">
        <f>'Fane 2.1. Økonomisk ramme 2019'!E18</f>
        <v>73599696.18147327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SUM(C9:C9)*Prisudvikling2019</f>
        <v>1243834.8654668981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-799344.45919113536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('Fane 2.1. Økonomisk ramme 2019'!C16/GenereltKravDrift2018-'Fane 2.1. Økonomisk ramme 2019'!C16)*(1+Prisudvikling2019)*GenereltKravDrift2019</f>
        <v>-507903.86590275518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2" t="s">
        <v>62</v>
      </c>
      <c r="C13" s="11">
        <f>(('Fane 2.1. Økonomisk ramme 2019'!C17/GenereltKravAnlæg2018-'Fane 2.1. Økonomisk ramme 2019'!C17)*(1+Prisudvikling2019)*GenereltKravAnlæg2019)</f>
        <v>-446377.6559336069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3" t="s">
        <v>40</v>
      </c>
      <c r="C14" s="17">
        <f>SUM(C9:C13)</f>
        <v>73089905.065912679</v>
      </c>
      <c r="D14" s="18" t="s">
        <v>2</v>
      </c>
      <c r="E14" s="17">
        <f>C14</f>
        <v>73089905.065912679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2" t="s">
        <v>137</v>
      </c>
      <c r="C16" s="11">
        <v>3131241.2155626891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-96067.130961392511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3035174.0846012966</v>
      </c>
      <c r="D18" s="18" t="s">
        <v>2</v>
      </c>
      <c r="E18" s="17">
        <f>C18</f>
        <v>3035174.0846012966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</f>
        <v>1445951.5071470162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1445951.5071470162</v>
      </c>
      <c r="D22" s="18" t="s">
        <v>2</v>
      </c>
      <c r="E22" s="17">
        <f>C22</f>
        <v>1445951.5071470162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-738994</v>
      </c>
      <c r="D24" s="18" t="s">
        <v>2</v>
      </c>
      <c r="E24" s="17">
        <f>C24</f>
        <v>-738994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76832036.657660991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65" t="s">
        <v>57</v>
      </c>
      <c r="C9" s="7">
        <f>'Fane 2.2. Økonomisk ramme 2020'!E14</f>
        <v>73089905.065912679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2" t="s">
        <v>37</v>
      </c>
      <c r="C10" s="11">
        <f>C9*Prisudvikling2019</f>
        <v>1235219.3956139241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13</v>
      </c>
      <c r="C11" s="11">
        <f>-SUM(C9:C10)*IndividueltKrav</f>
        <v>-793807.76916780334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2" t="s">
        <v>61</v>
      </c>
      <c r="C12" s="11">
        <f>(('Fane 2.2. Økonomisk ramme 2020'!C12/GenereltKravDrift2019-'Fane 2.2. Økonomisk ramme 2020'!C12)*(1+Prisudvikling2019)*GenereltKravDrift2019)</f>
        <v>-506157.69241178146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2" t="s">
        <v>62</v>
      </c>
      <c r="C13" s="11">
        <f>(('Fane 2.2. Økonomisk ramme 2020'!C13/GenereltKravAnlæg2019-'Fane 2.2. Økonomisk ramme 2020'!C13)*(1+Prisudvikling2019)*GenereltKravAnlæg2019)</f>
        <v>-449972.32180551055</v>
      </c>
      <c r="D13" s="8" t="s">
        <v>2</v>
      </c>
      <c r="E13" s="15"/>
      <c r="F13" s="16"/>
      <c r="G13" s="1"/>
    </row>
    <row r="14" spans="1:7" x14ac:dyDescent="0.25">
      <c r="A14" s="1"/>
      <c r="B14" s="43" t="s">
        <v>40</v>
      </c>
      <c r="C14" s="17">
        <f>SUM(C9:C13)</f>
        <v>72575186.678141505</v>
      </c>
      <c r="D14" s="18" t="s">
        <v>2</v>
      </c>
      <c r="E14" s="17">
        <f>C14</f>
        <v>72575186.678141505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2" t="s">
        <v>137</v>
      </c>
      <c r="C16" s="11">
        <v>3186038.4461221993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2" t="s">
        <v>76</v>
      </c>
      <c r="C17" s="11">
        <f>-(C16*(GenereltKravDrift2019+IndividueltKrav))</f>
        <v>-97748.321378252847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3088290.1247439464</v>
      </c>
      <c r="D18" s="18" t="s">
        <v>2</v>
      </c>
      <c r="E18" s="17">
        <f>C18</f>
        <v>3088290.1247439464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2" t="s">
        <v>22</v>
      </c>
      <c r="C20" s="11">
        <f>'Fane 4. Ikke-påvirkelige omk.'!E15*(1+Prisudvikling2019)^2</f>
        <v>1470388.0876178006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2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1470388.0876178006</v>
      </c>
      <c r="D22" s="18" t="s">
        <v>2</v>
      </c>
      <c r="E22" s="17">
        <f>C22</f>
        <v>1470388.0876178006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77133864.890503258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65" t="s">
        <v>58</v>
      </c>
      <c r="C8" s="7">
        <f>'Fane 2.3. Økonomisk ramme 2021'!E14</f>
        <v>72575186.678141505</v>
      </c>
      <c r="D8" s="8" t="s">
        <v>2</v>
      </c>
      <c r="E8" s="9"/>
      <c r="F8" s="10"/>
      <c r="G8" s="1"/>
    </row>
    <row r="9" spans="1:7" ht="15" customHeight="1" x14ac:dyDescent="0.25">
      <c r="A9" s="1"/>
      <c r="B9" s="42" t="s">
        <v>37</v>
      </c>
      <c r="C9" s="11">
        <f>C8*Prisudvikling2019</f>
        <v>1226520.6548605913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2" t="s">
        <v>13</v>
      </c>
      <c r="C10" s="11">
        <f>-SUM(C8:C9)*IndividueltKrav</f>
        <v>-788217.56550318212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2" t="s">
        <v>61</v>
      </c>
      <c r="C11" s="11">
        <f>('Fane 2.3. Økonomisk ramme 2021'!C12/GenereltKravDrift2019-'Fane 2.3. Økonomisk ramme 2021'!C12)*(1+Prisudvikling2019)*GenereltKravDrift2019</f>
        <v>-504417.52226526977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2" t="s">
        <v>62</v>
      </c>
      <c r="C12" s="11">
        <f>('Fane 2.3. Økonomisk ramme 2021'!C13/GenereltKravAnlæg2019-'Fane 2.3. Økonomisk ramme 2021'!C13)*(1+Prisudvikling2019)*GenereltKravAnlæg2019</f>
        <v>-453595.93541384069</v>
      </c>
      <c r="D12" s="8" t="s">
        <v>2</v>
      </c>
      <c r="E12" s="15"/>
      <c r="F12" s="16"/>
      <c r="G12" s="1"/>
    </row>
    <row r="13" spans="1:7" x14ac:dyDescent="0.25">
      <c r="A13" s="1"/>
      <c r="B13" s="43" t="s">
        <v>40</v>
      </c>
      <c r="C13" s="17">
        <f>SUM(C8:C12)</f>
        <v>72055476.309819803</v>
      </c>
      <c r="D13" s="18" t="s">
        <v>2</v>
      </c>
      <c r="E13" s="17">
        <f>C13</f>
        <v>72055476.309819803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2" t="s">
        <v>137</v>
      </c>
      <c r="C15" s="11">
        <v>3241794.2740421793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2" t="s">
        <v>76</v>
      </c>
      <c r="C16" s="11">
        <f>-(C15*(GenereltKravDrift2019+IndividueltKrav))</f>
        <v>-99458.921761266465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3142335.3522809129</v>
      </c>
      <c r="D17" s="18" t="s">
        <v>2</v>
      </c>
      <c r="E17" s="17">
        <f>C17</f>
        <v>3142335.3522809129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2" t="s">
        <v>22</v>
      </c>
      <c r="C19" s="11">
        <f>'Fane 4. Ikke-påvirkelige omk.'!E15*(1+Prisudvikling2019)^3</f>
        <v>1495237.6462985412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2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1495237.6462985412</v>
      </c>
      <c r="D21" s="18" t="s">
        <v>2</v>
      </c>
      <c r="E21" s="17">
        <f>C21</f>
        <v>1495237.6462985412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76693049.30839926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32</v>
      </c>
      <c r="C9" s="63"/>
      <c r="D9" s="63"/>
      <c r="E9" s="63"/>
      <c r="F9" s="64"/>
      <c r="G9" s="11">
        <v>79417901.329871684</v>
      </c>
      <c r="H9" s="22" t="s">
        <v>2</v>
      </c>
      <c r="I9" s="1"/>
    </row>
    <row r="10" spans="1:9" x14ac:dyDescent="0.25">
      <c r="A10" s="1"/>
      <c r="B10" s="46" t="s">
        <v>73</v>
      </c>
      <c r="C10" s="63"/>
      <c r="D10" s="63"/>
      <c r="E10" s="63"/>
      <c r="F10" s="64"/>
      <c r="G10" s="11">
        <v>2836707.3929614527</v>
      </c>
      <c r="H10" s="22" t="s">
        <v>2</v>
      </c>
      <c r="I10" s="1"/>
    </row>
    <row r="11" spans="1:9" x14ac:dyDescent="0.25">
      <c r="A11" s="1"/>
      <c r="B11" s="46" t="s">
        <v>48</v>
      </c>
      <c r="C11" s="63"/>
      <c r="D11" s="63"/>
      <c r="E11" s="63"/>
      <c r="F11" s="64"/>
      <c r="G11" s="11">
        <v>2168762.0609875</v>
      </c>
      <c r="H11" s="22" t="s">
        <v>2</v>
      </c>
      <c r="I11" s="1"/>
    </row>
    <row r="12" spans="1:9" x14ac:dyDescent="0.25">
      <c r="A12" s="1"/>
      <c r="B12" s="46" t="s">
        <v>75</v>
      </c>
      <c r="C12" s="63"/>
      <c r="D12" s="63"/>
      <c r="E12" s="63"/>
      <c r="F12" s="64"/>
      <c r="G12" s="11">
        <v>2926492.8000000003</v>
      </c>
      <c r="H12" s="22" t="s">
        <v>2</v>
      </c>
      <c r="I12" s="1"/>
    </row>
    <row r="13" spans="1:9" ht="26.25" customHeight="1" x14ac:dyDescent="0.25">
      <c r="A13" s="1"/>
      <c r="B13" s="47" t="s">
        <v>59</v>
      </c>
      <c r="C13" s="40"/>
      <c r="D13" s="40"/>
      <c r="E13" s="40"/>
      <c r="F13" s="41"/>
      <c r="G13" s="34">
        <f>G9-G10-G11</f>
        <v>74412431.875922725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3" t="s">
        <v>111</v>
      </c>
      <c r="C9" s="30"/>
      <c r="D9" s="37"/>
      <c r="E9" s="48" t="s">
        <v>47</v>
      </c>
      <c r="F9" s="18"/>
      <c r="G9" s="1"/>
      <c r="H9" s="1"/>
    </row>
    <row r="10" spans="1:8" x14ac:dyDescent="0.25">
      <c r="A10" s="1"/>
      <c r="B10" s="93" t="s">
        <v>133</v>
      </c>
      <c r="C10" s="94"/>
      <c r="D10" s="95"/>
      <c r="E10" s="11">
        <v>675246</v>
      </c>
      <c r="F10" s="22" t="s">
        <v>2</v>
      </c>
      <c r="G10" s="1"/>
      <c r="H10" s="1"/>
    </row>
    <row r="11" spans="1:8" x14ac:dyDescent="0.25">
      <c r="A11" s="1"/>
      <c r="B11" s="93" t="s">
        <v>134</v>
      </c>
      <c r="C11" s="94"/>
      <c r="D11" s="95"/>
      <c r="E11" s="11">
        <v>46839</v>
      </c>
      <c r="F11" s="22" t="s">
        <v>2</v>
      </c>
      <c r="G11" s="1"/>
      <c r="H11" s="1"/>
    </row>
    <row r="12" spans="1:8" ht="28.5" customHeight="1" x14ac:dyDescent="0.25">
      <c r="A12" s="1"/>
      <c r="B12" s="96" t="s">
        <v>135</v>
      </c>
      <c r="C12" s="97"/>
      <c r="D12" s="98"/>
      <c r="E12" s="11">
        <v>502736</v>
      </c>
      <c r="F12" s="22" t="s">
        <v>2</v>
      </c>
      <c r="G12" s="1"/>
      <c r="H12" s="1"/>
    </row>
    <row r="13" spans="1:8" x14ac:dyDescent="0.25">
      <c r="A13" s="1"/>
      <c r="B13" s="93" t="s">
        <v>136</v>
      </c>
      <c r="C13" s="94"/>
      <c r="D13" s="95"/>
      <c r="E13" s="11">
        <v>150230.57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1375051.57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1421921.0415449075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82</v>
      </c>
      <c r="C9" s="63"/>
      <c r="D9" s="63"/>
      <c r="E9" s="63"/>
      <c r="F9" s="64"/>
      <c r="G9" s="52">
        <v>570837.0776000527</v>
      </c>
      <c r="H9" s="22" t="s">
        <v>2</v>
      </c>
      <c r="I9" s="1"/>
    </row>
    <row r="10" spans="1:9" x14ac:dyDescent="0.25">
      <c r="A10" s="1"/>
      <c r="B10" s="62" t="s">
        <v>83</v>
      </c>
      <c r="C10" s="63"/>
      <c r="D10" s="63"/>
      <c r="E10" s="63"/>
      <c r="F10" s="64"/>
      <c r="G10" s="52">
        <f>G9/GenereltKravDrift2018</f>
        <v>28541853.880002633</v>
      </c>
      <c r="H10" s="22" t="s">
        <v>2</v>
      </c>
      <c r="I10" s="1"/>
    </row>
    <row r="11" spans="1:9" x14ac:dyDescent="0.25">
      <c r="A11" s="1"/>
      <c r="B11" s="62" t="s">
        <v>84</v>
      </c>
      <c r="C11" s="63"/>
      <c r="D11" s="63"/>
      <c r="E11" s="63"/>
      <c r="F11" s="64"/>
      <c r="G11" s="52">
        <v>908620.78719341266</v>
      </c>
      <c r="H11" s="22" t="s">
        <v>2</v>
      </c>
      <c r="I11" s="1"/>
    </row>
    <row r="12" spans="1:9" x14ac:dyDescent="0.25">
      <c r="A12" s="1"/>
      <c r="B12" s="62" t="s">
        <v>85</v>
      </c>
      <c r="C12" s="63"/>
      <c r="D12" s="63"/>
      <c r="E12" s="63"/>
      <c r="F12" s="64"/>
      <c r="G12" s="52">
        <f>G11/GenereltKravAnlæg2018</f>
        <v>51334507.751040265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87</v>
      </c>
      <c r="C17" s="100"/>
      <c r="D17" s="100"/>
      <c r="E17" s="100"/>
      <c r="F17" s="101"/>
      <c r="G17" s="53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3">
        <v>0.02</v>
      </c>
      <c r="H18" s="22"/>
      <c r="I18" s="1"/>
    </row>
    <row r="19" spans="1:9" x14ac:dyDescent="0.25">
      <c r="A19" s="1"/>
      <c r="B19" s="99" t="s">
        <v>88</v>
      </c>
      <c r="C19" s="100"/>
      <c r="D19" s="100"/>
      <c r="E19" s="100"/>
      <c r="F19" s="101"/>
      <c r="G19" s="53">
        <v>1.77E-2</v>
      </c>
      <c r="H19" s="22"/>
      <c r="I19" s="1"/>
    </row>
    <row r="20" spans="1:9" x14ac:dyDescent="0.25">
      <c r="A20" s="1"/>
      <c r="B20" s="99" t="s">
        <v>132</v>
      </c>
      <c r="C20" s="100"/>
      <c r="D20" s="100"/>
      <c r="E20" s="100"/>
      <c r="F20" s="101"/>
      <c r="G20" s="53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2" t="s">
        <v>17</v>
      </c>
      <c r="C9" s="63"/>
      <c r="D9" s="63"/>
      <c r="E9" s="63"/>
      <c r="F9" s="64"/>
      <c r="G9" s="11">
        <v>-8712050</v>
      </c>
      <c r="H9" s="22" t="s">
        <v>2</v>
      </c>
      <c r="I9" s="1"/>
    </row>
    <row r="10" spans="1:9" x14ac:dyDescent="0.25">
      <c r="A10" s="1"/>
      <c r="B10" s="62" t="s">
        <v>46</v>
      </c>
      <c r="C10" s="63"/>
      <c r="D10" s="63"/>
      <c r="E10" s="63"/>
      <c r="F10" s="64"/>
      <c r="G10" s="11">
        <v>-7234062</v>
      </c>
      <c r="H10" s="22" t="s">
        <v>2</v>
      </c>
      <c r="I10" s="1"/>
    </row>
    <row r="11" spans="1:9" x14ac:dyDescent="0.25">
      <c r="A11" s="1"/>
      <c r="B11" s="49" t="s">
        <v>20</v>
      </c>
      <c r="C11" s="50"/>
      <c r="D11" s="50"/>
      <c r="E11" s="50"/>
      <c r="F11" s="51"/>
      <c r="G11" s="31">
        <f>G9-G10</f>
        <v>-1477988</v>
      </c>
      <c r="H11" s="26" t="s">
        <v>2</v>
      </c>
      <c r="I11" s="1"/>
    </row>
    <row r="12" spans="1:9" x14ac:dyDescent="0.25">
      <c r="A12" s="1"/>
      <c r="B12" s="62" t="s">
        <v>18</v>
      </c>
      <c r="C12" s="63"/>
      <c r="D12" s="63"/>
      <c r="E12" s="63"/>
      <c r="F12" s="6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-738994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2018-09-10T08:11:40Z</dcterms:modified>
</cp:coreProperties>
</file>