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externalReferences>
    <externalReference r:id="rId17"/>
  </externalReferences>
  <definedNames>
    <definedName name="GenereltKravAnlæg">'Fane 7. Generelt eff. krav'!$G$20</definedName>
    <definedName name="GenereltKravDrift">'Fane 7. Generelt eff. krav'!$G$18</definedName>
    <definedName name="GenereltKravDrift2019">'[1]Fane 5. Generelt eff. krav'!$G$18</definedName>
    <definedName name="IndividueltKrav">#REF!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D11" i="20" l="1"/>
  <c r="C23" i="2"/>
  <c r="C24" i="2" s="1"/>
  <c r="E24" i="2" s="1"/>
  <c r="C22" i="2"/>
  <c r="E28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32" i="2" s="1"/>
  <c r="G12" i="32"/>
  <c r="C20" i="15" l="1"/>
  <c r="E20" i="15" s="1"/>
  <c r="E32" i="2"/>
  <c r="C18" i="15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E18" i="15" l="1"/>
  <c r="D12" i="20"/>
  <c r="F11" i="21"/>
  <c r="F12" i="21" s="1"/>
  <c r="C15" i="2" s="1"/>
  <c r="D11" i="21"/>
  <c r="D12" i="21" s="1"/>
  <c r="C14" i="2" s="1"/>
  <c r="C9" i="2"/>
  <c r="E15" i="19"/>
  <c r="E16" i="19" s="1"/>
  <c r="C26" i="2" l="1"/>
  <c r="E26" i="2" s="1"/>
  <c r="C15" i="22"/>
  <c r="E15" i="22" s="1"/>
  <c r="C15" i="23"/>
  <c r="E15" i="23" s="1"/>
  <c r="C16" i="15"/>
  <c r="E16" i="15" s="1"/>
  <c r="G13" i="10"/>
  <c r="G11" i="10" l="1"/>
  <c r="D13" i="20" l="1"/>
  <c r="C12" i="2" s="1"/>
  <c r="C18" i="2" s="1"/>
  <c r="C12" i="15" l="1"/>
  <c r="C11" i="22" s="1"/>
  <c r="C11" i="23" s="1"/>
  <c r="E11" i="11" l="1"/>
  <c r="F10" i="20" s="1"/>
  <c r="F12" i="20" s="1"/>
  <c r="F13" i="20" s="1"/>
  <c r="C13" i="2" s="1"/>
  <c r="C19" i="2" s="1"/>
  <c r="C30" i="2"/>
  <c r="E30" i="2" s="1"/>
  <c r="C13" i="15" l="1"/>
  <c r="C12" i="22" s="1"/>
  <c r="C12" i="23" s="1"/>
  <c r="C16" i="2"/>
  <c r="C17" i="2" s="1"/>
  <c r="C20" i="2" l="1"/>
  <c r="E20" i="2" s="1"/>
  <c r="E33" i="2" s="1"/>
  <c r="C9" i="15" l="1"/>
  <c r="C10" i="15" l="1"/>
  <c r="C11" i="15" l="1"/>
  <c r="C14" i="15" s="1"/>
  <c r="E14" i="15" s="1"/>
  <c r="E21" i="15" l="1"/>
  <c r="C8" i="22"/>
  <c r="C9" i="22" l="1"/>
  <c r="C10" i="22" s="1"/>
  <c r="C13" i="22" l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<sst xmlns="http://schemas.openxmlformats.org/spreadsheetml/2006/main" count="321" uniqueCount="164">
  <si>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</si>
  <si>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</si>
  <si>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</si>
  <si>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</si>
  <si>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</si>
  <si>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</si>
  <si>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</si>
  <si>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</si>
  <si>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</si>
  <si>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</si>
  <si>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</si>
  <si>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</si>
  <si>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</si>
  <si>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</si>
  <si>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</si>
  <si>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</si>
  <si>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</si>
  <si>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</si>
  <si>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</si>
  <si>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</si>
  <si>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</si>
  <si>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</si>
  <si>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</si>
  <si>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</si>
  <si>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</si>
  <si>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</si>
  <si>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</si>
  <si>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</si>
  <si>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</si>
  <si>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</si>
  <si>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</si>
  <si>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</si>
  <si>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</si>
  <si>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</si>
  <si>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</si>
  <si>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</si>
  <si>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</si>
  <si>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</si>
  <si>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</si>
  <si>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</si>
  <si>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</si>
  <si>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</si>
  <si>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</si>
  <si>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</si>
  <si>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</si>
  <si>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</si>
  <si>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</si>
  <si>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</si>
  <si>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</si>
  <si>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</si>
  <si>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</si>
  <si>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</si>
  <si>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</si>
  <si>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</si>
  <si>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</si>
  <si>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</si>
  <si>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</si>
  <si>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</si>
  <si>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</si>
  <si>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</si>
  <si>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</si>
  <si>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</si>
  <si>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</si>
  <si>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</si>
  <si>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</si>
  <si>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</si>
  <si>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</si>
  <si>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</si>
  <si>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</si>
  <si>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</si>
  <si>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</si>
  <si>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</si>
  <si>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</si>
  <si>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</si>
  <si>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</si>
  <si>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</si>
  <si>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</si>
  <si>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</si>
  <si>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</si>
  <si>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</si>
  <si>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</si>
  <si>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</si>
  <si>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</si>
  <si>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</si>
  <si>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</si>
  <si>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</si>
  <si>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</si>
  <si>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</si>
  <si>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</si>
  <si>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</si>
  <si>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</si>
  <si>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</si>
  <si>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</si>
  <si>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</si>
  <si>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</si>
  <si>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</si>
  <si>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</si>
  <si>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</si>
  <si>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</si>
  <si>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</si>
  <si>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</si>
  <si>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</si>
  <si>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</si>
  <si>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</si>
  <si>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</si>
  <si>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</si>
  <si>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</si>
  <si>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</si>
  <si>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</si>
  <si>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</si>
  <si>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</si>
  <si>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</si>
  <si>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</si>
  <si>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</si>
  <si>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</si>
  <si>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</si>
  <si>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</si>
  <si>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</si>
  <si>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</si>
  <si>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</si>
  <si>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</si>
  <si>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</si>
  <si>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</si>
  <si>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</si>
  <si>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</si>
  <si>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</si>
  <si>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</si>
  <si>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</si>
  <si>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</si>
  <si>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</si>
  <si>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</si>
  <si>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</si>
  <si>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</si>
  <si>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</si>
  <si>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</si>
  <si>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</si>
  <si>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</si>
  <si>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</si>
  <si>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</si>
  <si>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</si>
  <si>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</si>
  <si>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</si>
  <si>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</si>
  <si>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</si>
  <si>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</si>
  <si>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</si>
  <si>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</si>
  <si>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</si>
  <si>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</si>
  <si>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</si>
  <si>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</si>
  <si>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</si>
  <si>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</si>
  <si>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Ingen anlægsprojekter</t>
  </si>
  <si>
    <t>Ingen bortfald eller nedsættelse</t>
  </si>
  <si>
    <t>Fane 12: Bortfald eller nedsættelse af omkostninger til mål, medfinansiering eller udvidelse</t>
  </si>
  <si>
    <t>Fane 13: Nøgletal</t>
  </si>
  <si>
    <t>Engangstillæg</t>
  </si>
  <si>
    <t>Tillæg som bortfalder i den økonomiske ramme for 2020</t>
  </si>
  <si>
    <t>Effektiviseringskrav</t>
  </si>
  <si>
    <t>Engangstillæg i alt</t>
  </si>
  <si>
    <t>Rensning og inspektion af rentvandstanke</t>
  </si>
  <si>
    <t>Afgift for ledningsført vand</t>
  </si>
  <si>
    <t>Tjenestemandspensioner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</si>
</sst>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Spildevand/Energi%20Viborg%20Vand%20AS%20(S014)/&#216;R2019/Bilag%20A%20-%20Energi%20Viborg%20Vand%20AS%20(S014)%20-%20&#216;R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Forside"/>
      <sheetName val="Fane 2.1. Økonomisk ramme 2019"/>
      <sheetName val="Fane 2.2. Økonomisk ramme 2020"/>
      <sheetName val="Fane 2.3. Økonomisk ramme 2021"/>
      <sheetName val="Fane 2.4. Økonomisk ramme 2022"/>
      <sheetName val="Fane 3. Omkostninger i ØR2018"/>
      <sheetName val="Fane 4. Ikke-påvirkelige omk."/>
      <sheetName val="Fane 5. Generelt eff. krav"/>
      <sheetName val="Fane 6. Hist. over el. underdæk"/>
      <sheetName val="Fane 7. Kontrol af ØR2017"/>
      <sheetName val="Fane 8. Anlægsprojekter"/>
      <sheetName val="Fane 9. Tillæg"/>
      <sheetName val="Fane 10. Bortfald"/>
      <sheetName val="Fane 11. Nøgle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G18">
            <v>0.02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8" t="s">
        <v>137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34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33</v>
      </c>
      <c r="D14" s="67" t="s">
        <v>120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119</v>
      </c>
      <c r="D15" s="67" t="s">
        <v>122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121</v>
      </c>
      <c r="D16" s="67" t="s">
        <v>138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7</v>
      </c>
      <c r="D17" s="79" t="s">
        <v>123</v>
      </c>
      <c r="E17" s="80"/>
      <c r="F17" s="80"/>
      <c r="G17" s="81"/>
      <c r="H17" s="1"/>
      <c r="I17" s="1"/>
    </row>
    <row r="18" spans="1:9" x14ac:dyDescent="0.25">
      <c r="A18" s="1"/>
      <c r="B18" s="1"/>
      <c r="C18" s="6" t="s">
        <v>8</v>
      </c>
      <c r="D18" s="79" t="s">
        <v>131</v>
      </c>
      <c r="E18" s="80"/>
      <c r="F18" s="80"/>
      <c r="G18" s="81"/>
      <c r="H18" s="1"/>
      <c r="I18" s="1"/>
    </row>
    <row r="19" spans="1:9" x14ac:dyDescent="0.25">
      <c r="A19" s="1"/>
      <c r="B19" s="1"/>
      <c r="C19" s="6" t="s">
        <v>9</v>
      </c>
      <c r="D19" s="79" t="s">
        <v>124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10</v>
      </c>
      <c r="D20" s="82" t="s">
        <v>132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11</v>
      </c>
      <c r="D21" s="82" t="s">
        <v>125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12</v>
      </c>
      <c r="D22" s="71" t="s">
        <v>127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85" t="s">
        <v>129</v>
      </c>
      <c r="E26" s="86"/>
      <c r="F26" s="86"/>
      <c r="G26" s="87"/>
      <c r="H26" s="1"/>
      <c r="I26" s="1"/>
    </row>
    <row r="27" spans="1:9" x14ac:dyDescent="0.25">
      <c r="A27" s="1"/>
      <c r="B27" s="1"/>
      <c r="C27" s="6" t="s">
        <v>130</v>
      </c>
      <c r="D27" s="85" t="s">
        <v>58</v>
      </c>
      <c r="E27" s="86"/>
      <c r="F27" s="86"/>
      <c r="G27" s="8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15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85</v>
      </c>
      <c r="C9" s="93"/>
      <c r="D9" s="93"/>
      <c r="E9" s="93"/>
      <c r="F9" s="94"/>
      <c r="G9" s="55">
        <v>143434.64757440001</v>
      </c>
      <c r="H9" s="22" t="s">
        <v>3</v>
      </c>
      <c r="I9" s="1"/>
    </row>
    <row r="10" spans="1:9" x14ac:dyDescent="0.25">
      <c r="A10" s="1"/>
      <c r="B10" s="92" t="s">
        <v>86</v>
      </c>
      <c r="C10" s="93"/>
      <c r="D10" s="93"/>
      <c r="E10" s="93"/>
      <c r="F10" s="94"/>
      <c r="G10" s="55">
        <f>G9/G17</f>
        <v>7171732.3787200004</v>
      </c>
      <c r="H10" s="22" t="s">
        <v>3</v>
      </c>
      <c r="I10" s="1"/>
    </row>
    <row r="11" spans="1:9" x14ac:dyDescent="0.25">
      <c r="A11" s="1"/>
      <c r="B11" s="92" t="s">
        <v>87</v>
      </c>
      <c r="C11" s="93"/>
      <c r="D11" s="93"/>
      <c r="E11" s="93"/>
      <c r="F11" s="94"/>
      <c r="G11" s="55">
        <v>75095.62606328656</v>
      </c>
      <c r="H11" s="22" t="s">
        <v>3</v>
      </c>
      <c r="I11" s="1"/>
    </row>
    <row r="12" spans="1:9" x14ac:dyDescent="0.25">
      <c r="A12" s="1"/>
      <c r="B12" s="92" t="s">
        <v>88</v>
      </c>
      <c r="C12" s="93"/>
      <c r="D12" s="93"/>
      <c r="E12" s="93"/>
      <c r="F12" s="94"/>
      <c r="G12" s="55">
        <f>G11/G19</f>
        <v>8252266.60036116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81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90</v>
      </c>
      <c r="C17" s="93"/>
      <c r="D17" s="93"/>
      <c r="E17" s="93"/>
      <c r="F17" s="94"/>
      <c r="G17" s="54">
        <v>0.02</v>
      </c>
      <c r="H17" s="22"/>
      <c r="I17" s="1"/>
    </row>
    <row r="18" spans="1:9" x14ac:dyDescent="0.25">
      <c r="A18" s="1"/>
      <c r="B18" s="92" t="s">
        <v>89</v>
      </c>
      <c r="C18" s="93"/>
      <c r="D18" s="93"/>
      <c r="E18" s="93"/>
      <c r="F18" s="94"/>
      <c r="G18" s="54">
        <v>0.02</v>
      </c>
      <c r="H18" s="22"/>
      <c r="I18" s="1"/>
    </row>
    <row r="19" spans="1:9" x14ac:dyDescent="0.25">
      <c r="A19" s="1"/>
      <c r="B19" s="92" t="s">
        <v>91</v>
      </c>
      <c r="C19" s="93"/>
      <c r="D19" s="93"/>
      <c r="E19" s="93"/>
      <c r="F19" s="94"/>
      <c r="G19" s="54">
        <v>9.1000000000000004E-3</v>
      </c>
      <c r="H19" s="22"/>
      <c r="I19" s="1"/>
    </row>
    <row r="20" spans="1:9" x14ac:dyDescent="0.25">
      <c r="A20" s="1"/>
      <c r="B20" s="92" t="s">
        <v>149</v>
      </c>
      <c r="C20" s="93"/>
      <c r="D20" s="93"/>
      <c r="E20" s="93"/>
      <c r="F20" s="94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18</v>
      </c>
      <c r="C9" s="93"/>
      <c r="D9" s="93"/>
      <c r="E9" s="93"/>
      <c r="F9" s="94"/>
      <c r="G9" s="11">
        <v>1054744</v>
      </c>
      <c r="H9" s="22" t="s">
        <v>3</v>
      </c>
      <c r="I9" s="1"/>
    </row>
    <row r="10" spans="1:9" x14ac:dyDescent="0.25">
      <c r="A10" s="1"/>
      <c r="B10" s="92" t="s">
        <v>53</v>
      </c>
      <c r="C10" s="93"/>
      <c r="D10" s="93"/>
      <c r="E10" s="93"/>
      <c r="F10" s="94"/>
      <c r="G10" s="11">
        <v>1054744</v>
      </c>
      <c r="H10" s="22" t="s">
        <v>3</v>
      </c>
      <c r="I10" s="1"/>
    </row>
    <row r="11" spans="1:9" x14ac:dyDescent="0.25">
      <c r="A11" s="1"/>
      <c r="B11" s="101" t="s">
        <v>21</v>
      </c>
      <c r="C11" s="102"/>
      <c r="D11" s="102"/>
      <c r="E11" s="102"/>
      <c r="F11" s="103"/>
      <c r="G11" s="31">
        <f>G9-G10</f>
        <v>0</v>
      </c>
      <c r="H11" s="26" t="s">
        <v>3</v>
      </c>
      <c r="I11" s="1"/>
    </row>
    <row r="12" spans="1:9" x14ac:dyDescent="0.25">
      <c r="A12" s="1"/>
      <c r="B12" s="92" t="s">
        <v>19</v>
      </c>
      <c r="C12" s="93"/>
      <c r="D12" s="93"/>
      <c r="E12" s="93"/>
      <c r="F12" s="94"/>
      <c r="G12" s="11">
        <v>0</v>
      </c>
      <c r="H12" s="22" t="s">
        <v>43</v>
      </c>
      <c r="I12" s="1"/>
    </row>
    <row r="13" spans="1:9" x14ac:dyDescent="0.25">
      <c r="A13" s="1"/>
      <c r="B13" s="95" t="s">
        <v>17</v>
      </c>
      <c r="C13" s="96"/>
      <c r="D13" s="96"/>
      <c r="E13" s="96"/>
      <c r="F13" s="97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136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93</v>
      </c>
      <c r="C9" s="93"/>
      <c r="D9" s="94"/>
      <c r="E9" s="11">
        <v>27913105.998268772</v>
      </c>
      <c r="F9" s="22" t="s">
        <v>3</v>
      </c>
      <c r="G9" s="19"/>
      <c r="H9" s="27"/>
      <c r="I9" s="1"/>
    </row>
    <row r="10" spans="1:9" x14ac:dyDescent="0.25">
      <c r="A10" s="1"/>
      <c r="B10" s="92" t="s">
        <v>94</v>
      </c>
      <c r="C10" s="93"/>
      <c r="D10" s="94"/>
      <c r="E10" s="11">
        <v>25516790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99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4" t="s">
        <v>107</v>
      </c>
      <c r="C12" s="105"/>
      <c r="D12" s="106"/>
      <c r="E12" s="17">
        <f>E9-(E10-E11)</f>
        <v>2396315.9982687719</v>
      </c>
      <c r="F12" s="25" t="s">
        <v>3</v>
      </c>
      <c r="G12" s="17">
        <f>E12</f>
        <v>2396315.9982687719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104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101</v>
      </c>
      <c r="C17" s="93"/>
      <c r="D17" s="94"/>
      <c r="E17" s="11">
        <v>-1226781.3399999999</v>
      </c>
      <c r="F17" s="22" t="s">
        <v>3</v>
      </c>
      <c r="G17" s="19"/>
      <c r="H17" s="27"/>
      <c r="I17" s="1"/>
    </row>
    <row r="18" spans="1:9" x14ac:dyDescent="0.25">
      <c r="A18" s="1"/>
      <c r="B18" s="92" t="s">
        <v>102</v>
      </c>
      <c r="C18" s="93"/>
      <c r="D18" s="94"/>
      <c r="E18" s="11">
        <v>2560425.4934661686</v>
      </c>
      <c r="F18" s="22" t="s">
        <v>3</v>
      </c>
      <c r="G18" s="14"/>
      <c r="H18" s="28"/>
      <c r="I18" s="1"/>
    </row>
    <row r="19" spans="1:9" x14ac:dyDescent="0.25">
      <c r="A19" s="1"/>
      <c r="B19" s="104" t="s">
        <v>105</v>
      </c>
      <c r="C19" s="105"/>
      <c r="D19" s="106"/>
      <c r="E19" s="17">
        <f>SUM(E17:E18)</f>
        <v>1333644.1534661688</v>
      </c>
      <c r="F19" s="25" t="s">
        <v>3</v>
      </c>
      <c r="G19" s="17">
        <f>E19</f>
        <v>1333644.1534661688</v>
      </c>
      <c r="H19" s="25" t="s">
        <v>3</v>
      </c>
      <c r="I19" s="1"/>
    </row>
    <row r="20" spans="1:9" x14ac:dyDescent="0.25">
      <c r="A20" s="1"/>
      <c r="B20" s="104" t="s">
        <v>106</v>
      </c>
      <c r="C20" s="105"/>
      <c r="D20" s="106"/>
      <c r="E20" s="17">
        <f>SUM(E17:E18)*(1+Prisudvikling2018)</f>
        <v>1356982.9261518267</v>
      </c>
      <c r="F20" s="25" t="s">
        <v>3</v>
      </c>
      <c r="G20" s="17">
        <f>E20</f>
        <v>1356982.9261518267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5" t="s">
        <v>103</v>
      </c>
      <c r="C24" s="96"/>
      <c r="D24" s="96"/>
      <c r="E24" s="96"/>
      <c r="F24" s="96"/>
      <c r="G24" s="96"/>
      <c r="H24" s="97"/>
      <c r="I24" s="1"/>
    </row>
    <row r="25" spans="1:9" x14ac:dyDescent="0.25">
      <c r="A25" s="1"/>
      <c r="B25" s="110" t="s">
        <v>109</v>
      </c>
      <c r="C25" s="111"/>
      <c r="D25" s="112"/>
      <c r="E25" s="11">
        <f>IF(E12&lt;0,E20+E12,IF(E20+E12&lt;0,E20+E12,IF(E20&lt;0,0,E20)))</f>
        <v>1356982.9261518267</v>
      </c>
      <c r="F25" s="22" t="s">
        <v>3</v>
      </c>
      <c r="G25" s="14"/>
      <c r="H25" s="28"/>
      <c r="I25" s="1"/>
    </row>
    <row r="26" spans="1:9" x14ac:dyDescent="0.25">
      <c r="A26" s="1"/>
      <c r="B26" s="110" t="s">
        <v>100</v>
      </c>
      <c r="C26" s="111"/>
      <c r="D26" s="112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10" t="s">
        <v>111</v>
      </c>
      <c r="C27" s="111"/>
      <c r="D27" s="112"/>
      <c r="E27" s="11">
        <f>E25/E26</f>
        <v>678491.46307591337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7" t="s">
        <v>108</v>
      </c>
      <c r="C28" s="108"/>
      <c r="D28" s="109"/>
      <c r="E28" s="11">
        <f>IF(E20+E12&gt;0,E12-(E25-E20),0)</f>
        <v>2396315.9982687719</v>
      </c>
      <c r="F28" s="22" t="s">
        <v>3</v>
      </c>
      <c r="G28" s="14"/>
      <c r="H28" s="28"/>
      <c r="I28" s="1"/>
    </row>
    <row r="29" spans="1:9" x14ac:dyDescent="0.25">
      <c r="A29" s="1"/>
      <c r="B29" s="95" t="s">
        <v>110</v>
      </c>
      <c r="C29" s="96"/>
      <c r="D29" s="96"/>
      <c r="E29" s="96"/>
      <c r="F29" s="97"/>
      <c r="G29" s="20">
        <f>E27</f>
        <v>678491.46307591337</v>
      </c>
      <c r="H29" s="21" t="s">
        <v>3</v>
      </c>
      <c r="I29" s="1"/>
    </row>
    <row r="30" spans="1:9" x14ac:dyDescent="0.25">
      <c r="A30" s="1"/>
      <c r="B30" s="95" t="s">
        <v>112</v>
      </c>
      <c r="C30" s="96"/>
      <c r="D30" s="96"/>
      <c r="E30" s="96"/>
      <c r="F30" s="97"/>
      <c r="G30" s="20">
        <f>G29*(1+Prisudvikling2019)^2</f>
        <v>701618.25847464823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142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143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0" t="s">
        <v>153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5" t="s">
        <v>144</v>
      </c>
      <c r="C11" s="96"/>
      <c r="D11" s="97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44</v>
      </c>
      <c r="C3" s="88"/>
      <c r="D3" s="88"/>
      <c r="E3" s="88"/>
      <c r="F3" s="88"/>
      <c r="G3" s="88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63" t="s">
        <v>161</v>
      </c>
      <c r="C11" s="64"/>
      <c r="D11" s="53">
        <f>46631*1.0175</f>
        <v>47447.042500000003</v>
      </c>
      <c r="E11" s="22" t="s">
        <v>3</v>
      </c>
      <c r="F11" s="11">
        <v>0</v>
      </c>
      <c r="G11" s="22" t="s">
        <v>3</v>
      </c>
      <c r="H11" s="1"/>
    </row>
    <row r="12" spans="1:8" x14ac:dyDescent="0.25">
      <c r="A12" s="1"/>
      <c r="B12" s="41" t="s">
        <v>145</v>
      </c>
      <c r="C12" s="43"/>
      <c r="D12" s="20">
        <f>SUM(D10:D11)</f>
        <v>47447.042500000003</v>
      </c>
      <c r="E12" s="21" t="s">
        <v>3</v>
      </c>
      <c r="F12" s="20">
        <f>SUM(F10:F11)</f>
        <v>0</v>
      </c>
      <c r="G12" s="21" t="s">
        <v>3</v>
      </c>
      <c r="H12" s="1"/>
    </row>
    <row r="13" spans="1:8" x14ac:dyDescent="0.25">
      <c r="A13" s="1"/>
      <c r="B13" s="41" t="s">
        <v>146</v>
      </c>
      <c r="C13" s="43"/>
      <c r="D13" s="20">
        <f>D12*(1+Prisudvikling2019)</f>
        <v>48248.89751825</v>
      </c>
      <c r="E13" s="21" t="s">
        <v>3</v>
      </c>
      <c r="F13" s="20">
        <f>F12*(1+Prisudvikling2019)</f>
        <v>0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155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156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5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14806426.557640132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139046.22926527818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70100.688966892747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6" t="s">
        <v>77</v>
      </c>
      <c r="C12" s="7">
        <f>'Fane 11. Tillæg'!D13</f>
        <v>48248.89751825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6" t="s">
        <v>76</v>
      </c>
      <c r="C13" s="11">
        <f>'Fane 11. Tillæg'!F13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6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6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6" t="s">
        <v>42</v>
      </c>
      <c r="C16" s="11">
        <f>SUM(C9:C15)*Prisudvikling2019</f>
        <v>254578.59811030029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6" t="s">
        <v>14</v>
      </c>
      <c r="C17" s="11">
        <f>-SUM(C9:C16)*'Fane 6. Individuelt eff. krav'!G9</f>
        <v>-207745.56822194369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6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-146750.72754456263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6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-72963.859823053281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5" t="s">
        <v>46</v>
      </c>
      <c r="C20" s="17">
        <f>SUM(C9:C19)</f>
        <v>14890940.815911291</v>
      </c>
      <c r="D20" s="18" t="s">
        <v>3</v>
      </c>
      <c r="E20" s="17">
        <f>C20</f>
        <v>14890940.815911291</v>
      </c>
      <c r="F20" s="18" t="s">
        <v>3</v>
      </c>
      <c r="G20" s="1"/>
    </row>
    <row r="21" spans="1:7" ht="17.100000000000001" customHeight="1" x14ac:dyDescent="0.25">
      <c r="A21" s="1"/>
      <c r="B21" s="41" t="s">
        <v>157</v>
      </c>
      <c r="C21" s="42"/>
      <c r="D21" s="42"/>
      <c r="E21" s="42"/>
      <c r="F21" s="43"/>
      <c r="G21" s="1"/>
    </row>
    <row r="22" spans="1:7" ht="17.100000000000001" customHeight="1" x14ac:dyDescent="0.25">
      <c r="A22" s="1"/>
      <c r="B22" s="45" t="s">
        <v>158</v>
      </c>
      <c r="C22" s="11">
        <f>46631*1.0175*1.0169*1.0169</f>
        <v>49064.303886308422</v>
      </c>
      <c r="D22" s="8" t="s">
        <v>3</v>
      </c>
      <c r="E22" s="12"/>
      <c r="F22" s="13"/>
      <c r="G22" s="1"/>
    </row>
    <row r="23" spans="1:7" ht="17.100000000000001" customHeight="1" x14ac:dyDescent="0.25">
      <c r="A23" s="1"/>
      <c r="B23" s="45" t="s">
        <v>159</v>
      </c>
      <c r="C23" s="11">
        <f>-C22*(GenereltKravDrift+'Fane 6. Individuelt eff. krav'!G9)</f>
        <v>-1646.6878849538714</v>
      </c>
      <c r="D23" s="8" t="s">
        <v>3</v>
      </c>
      <c r="E23" s="12"/>
      <c r="F23" s="13"/>
      <c r="G23" s="1"/>
    </row>
    <row r="24" spans="1:7" ht="17.100000000000001" customHeight="1" x14ac:dyDescent="0.25">
      <c r="A24" s="1"/>
      <c r="B24" s="29" t="s">
        <v>160</v>
      </c>
      <c r="C24" s="17">
        <f>SUM(C22:C23)</f>
        <v>47417.616001354552</v>
      </c>
      <c r="D24" s="18" t="s">
        <v>3</v>
      </c>
      <c r="E24" s="17">
        <f>C24</f>
        <v>47417.616001354552</v>
      </c>
      <c r="F24" s="18" t="s">
        <v>3</v>
      </c>
      <c r="G24" s="1"/>
    </row>
    <row r="25" spans="1:7" x14ac:dyDescent="0.25">
      <c r="A25" s="1"/>
      <c r="B25" s="41" t="s">
        <v>23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23</v>
      </c>
      <c r="C26" s="17">
        <f>'Fane 5. Ikke-påvirkelige omk.'!E16</f>
        <v>11358530.771369297</v>
      </c>
      <c r="D26" s="18" t="s">
        <v>3</v>
      </c>
      <c r="E26" s="17">
        <f>C26</f>
        <v>11358530.771369297</v>
      </c>
      <c r="F26" s="18" t="s">
        <v>3</v>
      </c>
      <c r="G26" s="1"/>
    </row>
    <row r="27" spans="1:7" x14ac:dyDescent="0.25">
      <c r="A27" s="1"/>
      <c r="B27" s="41" t="s">
        <v>84</v>
      </c>
      <c r="C27" s="42"/>
      <c r="D27" s="42"/>
      <c r="E27" s="42"/>
      <c r="F27" s="43"/>
      <c r="G27" s="1"/>
    </row>
    <row r="28" spans="1:7" ht="26.25" x14ac:dyDescent="0.25">
      <c r="A28" s="1"/>
      <c r="B28" s="29" t="s">
        <v>57</v>
      </c>
      <c r="C28" s="17">
        <v>57156.006793421082</v>
      </c>
      <c r="D28" s="18" t="s">
        <v>3</v>
      </c>
      <c r="E28" s="17">
        <f>C28</f>
        <v>57156.006793421082</v>
      </c>
      <c r="F28" s="18" t="s">
        <v>3</v>
      </c>
      <c r="G28" s="1"/>
    </row>
    <row r="29" spans="1:7" x14ac:dyDescent="0.25">
      <c r="A29" s="1"/>
      <c r="B29" s="41" t="s">
        <v>16</v>
      </c>
      <c r="C29" s="42"/>
      <c r="D29" s="42"/>
      <c r="E29" s="42"/>
      <c r="F29" s="43"/>
      <c r="G29" s="1"/>
    </row>
    <row r="30" spans="1:7" x14ac:dyDescent="0.25">
      <c r="A30" s="1"/>
      <c r="B30" s="29" t="s">
        <v>25</v>
      </c>
      <c r="C30" s="17">
        <f>'Fane 8.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41" t="s">
        <v>109</v>
      </c>
      <c r="C31" s="42"/>
      <c r="D31" s="42"/>
      <c r="E31" s="42"/>
      <c r="F31" s="43"/>
      <c r="G31" s="1"/>
    </row>
    <row r="32" spans="1:7" x14ac:dyDescent="0.25">
      <c r="A32" s="1"/>
      <c r="B32" s="29" t="s">
        <v>113</v>
      </c>
      <c r="C32" s="17">
        <f>'Fane 9. Kontrol af ØR2017'!G30</f>
        <v>701618.25847464823</v>
      </c>
      <c r="D32" s="18" t="s">
        <v>3</v>
      </c>
      <c r="E32" s="17">
        <f>C32</f>
        <v>701618.25847464823</v>
      </c>
      <c r="F32" s="18" t="s">
        <v>3</v>
      </c>
      <c r="G32" s="1"/>
    </row>
    <row r="33" spans="1:7" x14ac:dyDescent="0.25">
      <c r="A33" s="1"/>
      <c r="B33" s="41" t="s">
        <v>36</v>
      </c>
      <c r="C33" s="42"/>
      <c r="D33" s="43"/>
      <c r="E33" s="20">
        <f>SUM(E20,E24,E26,E28,E30,E32:E32)</f>
        <v>27055663.468550012</v>
      </c>
      <c r="F33" s="21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14890940.815911291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251656.8997889008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-205361.35414245044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-146246.19854326441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-73551.435597292526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14717438.727417186</v>
      </c>
      <c r="D14" s="18" t="s">
        <v>3</v>
      </c>
      <c r="E14" s="17">
        <f>C14</f>
        <v>14717438.727417186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omk.'!E16*(1+Prisudvikling2019)</f>
        <v>11550489.941405438</v>
      </c>
      <c r="D16" s="18" t="s">
        <v>3</v>
      </c>
      <c r="E16" s="17">
        <f>C16</f>
        <v>11550489.941405438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2019'!C32*(1+Prisudvikling2019)</f>
        <v>713475.60704286967</v>
      </c>
      <c r="D20" s="18" t="s">
        <v>3</v>
      </c>
      <c r="E20" s="17">
        <f>C20</f>
        <v>713475.60704286967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26981404.275865495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14717438.727417186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248724.71449335042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-202968.58230350653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-145743.40411267267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-74143.743101614455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14543307.712392744</v>
      </c>
      <c r="D13" s="18" t="s">
        <v>3</v>
      </c>
      <c r="E13" s="17">
        <f>C13</f>
        <v>14543307.712392744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omk.'!E16*(1+Prisudvikling2019)^2</f>
        <v>11745693.221415188</v>
      </c>
      <c r="D15" s="18" t="s">
        <v>3</v>
      </c>
      <c r="E15" s="17">
        <f>C15</f>
        <v>11745693.221415188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26289000.933807932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14543307.712392744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245781.90033943736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-200567.13692233837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-145242.33828933327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-74740.820440499476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14368539.31708001</v>
      </c>
      <c r="D13" s="18" t="s">
        <v>3</v>
      </c>
      <c r="E13" s="17">
        <f>C13</f>
        <v>14368539.31708001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omk.'!E16*(1+Prisudvikling2019)^3</f>
        <v>11944195.436857102</v>
      </c>
      <c r="D15" s="18" t="s">
        <v>3</v>
      </c>
      <c r="E15" s="17">
        <f>C15</f>
        <v>11944195.436857102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26312734.75393711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116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26597855.566840131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11791429.009199999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14806426.557640132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133</v>
      </c>
      <c r="C3" s="90"/>
      <c r="D3" s="90"/>
      <c r="E3" s="90"/>
      <c r="F3" s="90"/>
      <c r="G3" s="90"/>
      <c r="H3" s="1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62</v>
      </c>
      <c r="C8" s="96"/>
      <c r="D8" s="96"/>
      <c r="E8" s="96"/>
      <c r="F8" s="96"/>
      <c r="G8" s="97"/>
      <c r="H8" s="1"/>
      <c r="I8" s="1"/>
    </row>
    <row r="9" spans="1:9" x14ac:dyDescent="0.25">
      <c r="A9" s="1"/>
      <c r="B9" s="92" t="s">
        <v>63</v>
      </c>
      <c r="C9" s="93"/>
      <c r="D9" s="93"/>
      <c r="E9" s="94"/>
      <c r="F9" s="11">
        <v>7226320</v>
      </c>
      <c r="G9" s="22" t="s">
        <v>3</v>
      </c>
      <c r="H9" s="1"/>
      <c r="I9" s="1"/>
    </row>
    <row r="10" spans="1:9" x14ac:dyDescent="0.25">
      <c r="A10" s="1"/>
      <c r="B10" s="92" t="s">
        <v>64</v>
      </c>
      <c r="C10" s="93"/>
      <c r="D10" s="93"/>
      <c r="E10" s="94"/>
      <c r="F10" s="11">
        <v>8223612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5" t="s">
        <v>69</v>
      </c>
      <c r="C14" s="96"/>
      <c r="D14" s="96"/>
      <c r="E14" s="96"/>
      <c r="F14" s="96"/>
      <c r="G14" s="97"/>
      <c r="H14" s="1"/>
      <c r="I14" s="1"/>
    </row>
    <row r="15" spans="1:9" x14ac:dyDescent="0.25">
      <c r="A15" s="1"/>
      <c r="B15" s="92" t="s">
        <v>37</v>
      </c>
      <c r="C15" s="93"/>
      <c r="D15" s="93"/>
      <c r="E15" s="94"/>
      <c r="F15" s="11">
        <v>7363055.4009885713</v>
      </c>
      <c r="G15" s="22" t="s">
        <v>3</v>
      </c>
      <c r="H15" s="1"/>
      <c r="I15" s="1"/>
    </row>
    <row r="16" spans="1:9" x14ac:dyDescent="0.25">
      <c r="A16" s="1"/>
      <c r="B16" s="92" t="s">
        <v>38</v>
      </c>
      <c r="C16" s="93"/>
      <c r="D16" s="93"/>
      <c r="E16" s="94"/>
      <c r="F16" s="11">
        <v>8292547.6760417866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5" t="s">
        <v>29</v>
      </c>
      <c r="C20" s="96"/>
      <c r="D20" s="96"/>
      <c r="E20" s="96"/>
      <c r="F20" s="96"/>
      <c r="G20" s="97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8" t="s">
        <v>65</v>
      </c>
      <c r="C22" s="99"/>
      <c r="D22" s="53">
        <f>F15-F9</f>
        <v>136735.40098857135</v>
      </c>
      <c r="E22" s="22" t="s">
        <v>3</v>
      </c>
      <c r="F22" s="11">
        <f>D22*(1+Prisudvikling2019)</f>
        <v>139046.22926527818</v>
      </c>
      <c r="G22" s="22" t="s">
        <v>3</v>
      </c>
      <c r="H22" s="1"/>
      <c r="I22" s="1"/>
    </row>
    <row r="23" spans="1:9" ht="15" customHeight="1" x14ac:dyDescent="0.25">
      <c r="A23" s="1"/>
      <c r="B23" s="98" t="s">
        <v>66</v>
      </c>
      <c r="C23" s="99"/>
      <c r="D23" s="53">
        <f>F16-F10</f>
        <v>68935.676041786559</v>
      </c>
      <c r="E23" s="22" t="s">
        <v>3</v>
      </c>
      <c r="F23" s="11">
        <f>D23*(1+Prisudvikling2019)</f>
        <v>70100.688966892747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1" t="s">
        <v>97</v>
      </c>
      <c r="C26" s="91"/>
      <c r="D26" s="91"/>
      <c r="E26" s="91"/>
      <c r="F26" s="91"/>
      <c r="G26" s="91"/>
      <c r="H26" s="1"/>
      <c r="I26" s="1"/>
    </row>
    <row r="27" spans="1:9" ht="27.75" customHeight="1" x14ac:dyDescent="0.25">
      <c r="A27" s="1"/>
      <c r="B27" s="91" t="s">
        <v>139</v>
      </c>
      <c r="C27" s="91"/>
      <c r="D27" s="91"/>
      <c r="E27" s="91"/>
      <c r="F27" s="91"/>
      <c r="G27" s="9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134</v>
      </c>
      <c r="C3" s="88"/>
      <c r="D3" s="88"/>
      <c r="E3" s="88"/>
      <c r="F3" s="88"/>
      <c r="G3" s="1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5" t="s">
        <v>68</v>
      </c>
      <c r="C8" s="96"/>
      <c r="D8" s="96"/>
      <c r="E8" s="96"/>
      <c r="F8" s="97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162</v>
      </c>
      <c r="C10" s="48"/>
      <c r="D10" s="49"/>
      <c r="E10" s="11">
        <v>10766100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46218</v>
      </c>
      <c r="F11" s="22" t="s">
        <v>3</v>
      </c>
      <c r="G11" s="1"/>
      <c r="H11" s="1"/>
    </row>
    <row r="12" spans="1:8" ht="26.25" x14ac:dyDescent="0.25">
      <c r="A12" s="1"/>
      <c r="B12" s="44" t="s">
        <v>151</v>
      </c>
      <c r="C12" s="48"/>
      <c r="D12" s="49"/>
      <c r="E12" s="11">
        <v>5736</v>
      </c>
      <c r="F12" s="22" t="s">
        <v>3</v>
      </c>
      <c r="G12" s="1"/>
      <c r="H12" s="1"/>
    </row>
    <row r="13" spans="1:8" x14ac:dyDescent="0.25">
      <c r="A13" s="1"/>
      <c r="B13" s="44" t="s">
        <v>152</v>
      </c>
      <c r="C13" s="48"/>
      <c r="D13" s="49"/>
      <c r="E13" s="11">
        <v>81076</v>
      </c>
      <c r="F13" s="22" t="s">
        <v>3</v>
      </c>
      <c r="G13" s="1"/>
      <c r="H13" s="1"/>
    </row>
    <row r="14" spans="1:8" x14ac:dyDescent="0.25">
      <c r="A14" s="1"/>
      <c r="B14" s="44" t="s">
        <v>163</v>
      </c>
      <c r="C14" s="48"/>
      <c r="D14" s="49"/>
      <c r="E14" s="11">
        <v>85000</v>
      </c>
      <c r="F14" s="22" t="s">
        <v>3</v>
      </c>
      <c r="G14" s="1"/>
      <c r="H14" s="1"/>
    </row>
    <row r="15" spans="1:8" x14ac:dyDescent="0.25">
      <c r="A15" s="1"/>
      <c r="B15" s="41" t="s">
        <v>140</v>
      </c>
      <c r="C15" s="42"/>
      <c r="D15" s="43"/>
      <c r="E15" s="20">
        <f>SUM(E10:E14)</f>
        <v>10984130</v>
      </c>
      <c r="F15" s="21" t="s">
        <v>3</v>
      </c>
      <c r="G15" s="1"/>
      <c r="H15" s="1"/>
    </row>
    <row r="16" spans="1:8" x14ac:dyDescent="0.25">
      <c r="A16" s="1"/>
      <c r="B16" s="41" t="s">
        <v>141</v>
      </c>
      <c r="C16" s="42"/>
      <c r="D16" s="43"/>
      <c r="E16" s="20">
        <f>E15*(1+Prisudvikling2019)^2</f>
        <v>11358530.771369297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14</v>
      </c>
      <c r="C9" s="93"/>
      <c r="D9" s="93"/>
      <c r="E9" s="93"/>
      <c r="F9" s="94"/>
      <c r="G9" s="54">
        <v>1.3561831199512556E-2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100" t="s">
        <v>80</v>
      </c>
      <c r="C12" s="100"/>
      <c r="D12" s="100"/>
      <c r="E12" s="100"/>
      <c r="F12" s="100"/>
      <c r="G12" s="100"/>
      <c r="H12" s="100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2018-09-27T09:19:46Z</dcterms:modified>
</cp:coreProperties>
</file>