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Individuelt eff. krav" sheetId="31" r:id="rId9"/>
    <sheet name="Fane 7. Generelt eff. krav" sheetId="30" r:id="rId10"/>
    <sheet name="Fane 8. Hist. over el. underdæk" sheetId="10" r:id="rId11"/>
    <sheet name="Fane 9. Kontrol af ØR2017" sheetId="32" r:id="rId12"/>
    <sheet name="Fane 10. Anlægsprojekter" sheetId="11" r:id="rId13"/>
    <sheet name="Fane 11. Tillæg" sheetId="20" r:id="rId14"/>
    <sheet name="Fane 12. Bortfald" sheetId="21" r:id="rId15"/>
    <sheet name="Fane 13. Nøgletal" sheetId="26" r:id="rId16"/>
  </sheets>
  <definedNames>
    <definedName name="GenereltKravAnlæg">'Fane 7. Generelt eff. krav'!$G$20</definedName>
    <definedName name="GenereltKravDrift">'Fane 7. Generelt eff. krav'!$G$18</definedName>
    <definedName name="Prisudvikling2017">'Fane 13. Nøgletal'!$F$9</definedName>
    <definedName name="Prisudvikling2018">'Fane 13. Nøgletal'!$F$10</definedName>
    <definedName name="Prisudvikling2019">'Fane 13. Nøgletal'!$F$11</definedName>
  </definedNames>
  <calcPr calcId="145621"/>
</workbook>
</file>

<file path=xl/calcChain.xml><?xml version="1.0" encoding="utf-8"?>
<calcChain xmlns="http://schemas.openxmlformats.org/spreadsheetml/2006/main">
  <c r="E24" i="2" l="1"/>
  <c r="E12" i="32" l="1"/>
  <c r="E20" i="32" l="1"/>
  <c r="E25" i="32" s="1"/>
  <c r="G20" i="32" l="1"/>
  <c r="E19" i="32"/>
  <c r="G19" i="32" l="1"/>
  <c r="E28" i="32" l="1"/>
  <c r="E27" i="32"/>
  <c r="G29" i="32" s="1"/>
  <c r="G30" i="32" s="1"/>
  <c r="C28" i="2" s="1"/>
  <c r="G12" i="32"/>
  <c r="C20" i="15" l="1"/>
  <c r="E20" i="15" s="1"/>
  <c r="E28" i="2"/>
  <c r="G12" i="30" l="1"/>
  <c r="G10" i="30"/>
  <c r="F12" i="11"/>
  <c r="D10" i="20" s="1"/>
  <c r="G12" i="11"/>
  <c r="D23" i="7" l="1"/>
  <c r="F23" i="7" s="1"/>
  <c r="C11" i="2" s="1"/>
  <c r="D22" i="7"/>
  <c r="F22" i="7" s="1"/>
  <c r="C10" i="2" s="1"/>
  <c r="G11" i="27" l="1"/>
  <c r="D11" i="20" l="1"/>
  <c r="F11" i="21"/>
  <c r="F12" i="21" s="1"/>
  <c r="C15" i="2" s="1"/>
  <c r="D11" i="21"/>
  <c r="D12" i="21" s="1"/>
  <c r="C14" i="2" s="1"/>
  <c r="C9" i="2"/>
  <c r="E14" i="19"/>
  <c r="E15" i="19" s="1"/>
  <c r="C22" i="2" l="1"/>
  <c r="E22" i="2" s="1"/>
  <c r="C15" i="22"/>
  <c r="E15" i="22" s="1"/>
  <c r="C15" i="23"/>
  <c r="E15" i="23" s="1"/>
  <c r="C16" i="15"/>
  <c r="E16" i="15" s="1"/>
  <c r="G13" i="10"/>
  <c r="C18" i="15" s="1"/>
  <c r="E18" i="15" s="1"/>
  <c r="G11" i="10" l="1"/>
  <c r="D12" i="20" l="1"/>
  <c r="C12" i="2" s="1"/>
  <c r="C18" i="2" s="1"/>
  <c r="C12" i="15" l="1"/>
  <c r="C11" i="22" s="1"/>
  <c r="C11" i="23" s="1"/>
  <c r="E11" i="11"/>
  <c r="E10" i="11" l="1"/>
  <c r="E12" i="11" s="1"/>
  <c r="F10" i="20" s="1"/>
  <c r="F11" i="20" s="1"/>
  <c r="F12" i="20" s="1"/>
  <c r="C13" i="2" s="1"/>
  <c r="C19" i="2" s="1"/>
  <c r="C26" i="2"/>
  <c r="E26" i="2" s="1"/>
  <c r="C13" i="15" l="1"/>
  <c r="C12" i="22" s="1"/>
  <c r="C12" i="23" s="1"/>
  <c r="C16" i="2"/>
  <c r="C17" i="2" s="1"/>
  <c r="C20" i="2" l="1"/>
  <c r="E20" i="2" s="1"/>
  <c r="E29" i="2" s="1"/>
  <c r="C9" i="15" l="1"/>
  <c r="C10" i="15" l="1"/>
  <c r="C11" i="15" l="1"/>
  <c r="C14" i="15" s="1"/>
  <c r="E14" i="15" s="1"/>
  <c r="E21" i="15" l="1"/>
  <c r="C8" i="22"/>
  <c r="C9" i="22" s="1"/>
  <c r="C10" i="22" l="1"/>
  <c r="C13" i="22" s="1"/>
  <c r="E13" i="22" s="1"/>
  <c r="E16" i="22" l="1"/>
  <c r="C8" i="23"/>
  <c r="C9" i="23" l="1"/>
  <c r="C10" i="23" l="1"/>
  <c r="C13" i="23" s="1"/>
  <c r="E13" i="23" s="1"/>
  <c r="E16" i="23" s="1"/>
</calcChain>
</file>

<file path=xl/sharedStrings.xml><?xml version="1.0" encoding="utf-8"?>
<sst xmlns="http://schemas.openxmlformats.org/spreadsheetml/2006/main" count="310" uniqueCount="159">
  <si>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</si>
  <si>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</si>
  <si>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</si>
  <si>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</si>
  <si>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</si>
  <si>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</si>
  <si>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</si>
  <si>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</si>
  <si>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</si>
  <si>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</si>
  <si>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</si>
  <si>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</si>
  <si>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</si>
  <si>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</si>
  <si>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</si>
  <si>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</si>
  <si>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</si>
  <si>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</si>
  <si>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</si>
  <si>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</si>
  <si>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</si>
  <si>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</si>
  <si>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</si>
  <si>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</si>
  <si>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</si>
  <si>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</si>
  <si>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</si>
  <si>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</si>
  <si>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</si>
  <si>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</si>
  <si>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</si>
  <si>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</si>
  <si>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</si>
  <si>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</si>
  <si>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</si>
  <si>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</si>
  <si>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</si>
  <si>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</si>
  <si>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</si>
  <si>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</si>
  <si>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</si>
  <si>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</si>
  <si>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</si>
  <si>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</si>
  <si>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Fane 11: Tillæg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</si>
  <si>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</si>
  <si>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</si>
  <si>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</si>
  <si>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</si>
  <si>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</si>
  <si>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</si>
  <si>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</si>
  <si>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</si>
  <si>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</si>
  <si>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</si>
  <si>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</si>
  <si>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</si>
  <si>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 af forkert prisfremskrivning af ikke-påvirkelige omkostninger i ØR2018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</si>
  <si>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</si>
  <si>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</si>
  <si>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</si>
  <si>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</si>
  <si>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</si>
  <si>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</si>
  <si>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</si>
  <si>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Korrektion af driftsomkostninger</t>
  </si>
  <si>
    <t>Korrektion af anlægsomkostninger</t>
  </si>
  <si>
    <t>Videreførte omkostninger fra den økonomiske ramme for 2021</t>
  </si>
  <si>
    <t>Faktiske ikke-påvirkelige omkostninger i 2017</t>
  </si>
  <si>
    <t>Korrigeret grundlag til brug for den økonomiske ramme for 2019 og frem</t>
  </si>
  <si>
    <t>Generelt effektiviseringskrav - Drift</t>
  </si>
  <si>
    <t>Generelt effektiviseringskrav - Anlæg</t>
  </si>
  <si>
    <t>Korrektion af grundlag - Anlæg</t>
  </si>
  <si>
    <t>Korrektion af grundlag - Drift</t>
  </si>
  <si>
    <t>2017-prisniveau</t>
  </si>
  <si>
    <t>2018-prisniveau</t>
  </si>
  <si>
    <t>Nye tillæg - Anlæg</t>
  </si>
  <si>
    <t>Nye tillæg - Drift</t>
  </si>
  <si>
    <t>Bortfald eller nedsættelse af omkostninger - Anlæg</t>
  </si>
  <si>
    <t>Bortfald eller nedsættelse af omkostninger - Drift</t>
  </si>
  <si>
    <t>Beregningen af jeres individuelle effektiviseringskrav fremgår af metodepapir samt bilag til benchmarkingmodellen 2019</t>
  </si>
  <si>
    <t>Generelt effektiviseringskrav - Nøgletal</t>
  </si>
  <si>
    <t>Økonomisk ramme for 2021</t>
  </si>
  <si>
    <t>Økonomisk ramme for 2022</t>
  </si>
  <si>
    <t>Korrektion af den økonomiske ramme for 2018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</si>
  <si>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</si>
  <si>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</si>
  <si>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</si>
  <si>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</si>
  <si>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</si>
  <si>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ØR17-ØR18</t>
  </si>
  <si>
    <t>Generelt effektiviseringskrav anvendt til anlæg i ØR17-ØR18</t>
  </si>
  <si>
    <t>Finansielle omkostninger</t>
  </si>
  <si>
    <t>Indtægtsramme i den økonomiske ramme for 2017</t>
  </si>
  <si>
    <t>Faktiske indtægter i 2017</t>
  </si>
  <si>
    <t>Anlægsomkostninger</t>
  </si>
  <si>
    <t>Beskrivelse af ikke-påvirkelige 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</si>
  <si>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</si>
  <si>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</si>
  <si>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</si>
  <si>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Antal år i reguleringsperiode</t>
  </si>
  <si>
    <t>Korrektion af budgetterede omkostninger i prisloft 2016</t>
  </si>
  <si>
    <t>Kontrol for overholdelse af indtægtsrammen i prisloft 2016</t>
  </si>
  <si>
    <t>Til indregning i de økonomiske rammer for 2019-2020</t>
  </si>
  <si>
    <t>Korrektion og kontrol med prisloft 2016</t>
  </si>
  <si>
    <t>Korrektion og kontrol med prisloft 2016 i alt (2016-prisniveau)</t>
  </si>
  <si>
    <t>Korrektion og kontrol med prisloft 2016 i alt (2017-prisniveau)</t>
  </si>
  <si>
    <t>Difference (2017-prisniveau)</t>
  </si>
  <si>
    <t>Orientering om resterende difference fra kontrol med overholdelse af den økonomiske ramme for 2017</t>
  </si>
  <si>
    <t>Korrektion og kontrol med overholdelse af indtægtsrammer</t>
  </si>
  <si>
    <t>Tillæg/fradrag i den økonomiske ramme for 2019-2020 i alt (2017-prisniveau)</t>
  </si>
  <si>
    <t>Fordeling per år i reguleringsperiode</t>
  </si>
  <si>
    <t>Tillæg/fradrag i den økonomiske ramme for 2019-2020 i alt (2019-prisniveau)</t>
  </si>
  <si>
    <t>Tillæg/fradrag for korrektion og kontrol</t>
  </si>
  <si>
    <t>Fane 2.3: Samlet økonomisk ramme for 2021</t>
  </si>
  <si>
    <t>Fane 2.4: Samlet økonomisk ramme for 2022</t>
  </si>
  <si>
    <t>Fane 3: Videreførte omkostninger fra den økonomiske ramme for 2018</t>
  </si>
  <si>
    <t>Fane 6: Individuelt effektiviseringskrav</t>
  </si>
  <si>
    <t>Fane 7: Generelt effektiviseringskrav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</si>
  <si>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</si>
  <si>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</si>
  <si>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</si>
  <si>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</si>
  <si>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</si>
  <si>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</si>
  <si>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Generelt eff. Krav</t>
  </si>
  <si>
    <t>Kontrol af ØR2017</t>
  </si>
  <si>
    <t>Hist. over el. underdæk</t>
  </si>
  <si>
    <t>Anlægsprojekter</t>
  </si>
  <si>
    <t>Bortfald</t>
  </si>
  <si>
    <t>Fane 13</t>
  </si>
  <si>
    <t>Korrigeret grundlag</t>
  </si>
  <si>
    <t>Individuelt eff. Krav</t>
  </si>
  <si>
    <t>Fane 4: Korrigeret grundlag til brug for den økonomiske ramme for 2018 og frem</t>
  </si>
  <si>
    <t>Fane 5: Korrektion af ikke-påvirkelige omkostninger</t>
  </si>
  <si>
    <t>Fane 8: Historisk over- eller underdækning</t>
  </si>
  <si>
    <t>Fane 9: Kontrol med overholdelse af den økonomiske ramme for 2017</t>
  </si>
  <si>
    <t>Til økonomisk ramme for 2019 og 2020</t>
  </si>
  <si>
    <t>Samlet økonomisk ramme for 2022</t>
  </si>
  <si>
    <t>Bemærk desuden, at korrektion af ikke-påvirkelige omkostninger ikke er medtaget i denne opgørelse, men fremgår af fane 5.</t>
  </si>
  <si>
    <t>Ikke-påvirkelige omkostninger i 2017-prisniveau</t>
  </si>
  <si>
    <t>Ikke-påvirkelige omkostninger i 2019-prisniveau</t>
  </si>
  <si>
    <t>Fane 10: Anlægsprojekter igangsat inden 1. marts 2016</t>
  </si>
  <si>
    <t>Anlægsprojekter igangsat inden 1. marts 2016</t>
  </si>
  <si>
    <t>Anlægsprojekter igangsat inden 1. marts 2016 i alt</t>
  </si>
  <si>
    <t>Nye tillæg i alt i 2017-prisniveau</t>
  </si>
  <si>
    <t>Nye tillæg i alt i 2018-prisniveau</t>
  </si>
  <si>
    <t>Bortfald eller nedsættelse i alt i 2017-prisniveau</t>
  </si>
  <si>
    <t>Bortfald eller nedsættelse i alt i 2018-prisniveau</t>
  </si>
  <si>
    <t>Generelt effektiviseringskrav anvendt til nye anlægsomkostninger i ØR19</t>
  </si>
  <si>
    <t>Afgift til Forsyningsekretariatet</t>
  </si>
  <si>
    <t>Skatter og afgifter</t>
  </si>
  <si>
    <t>Selskabsskatter</t>
  </si>
  <si>
    <t>Ingen bortfald eller nedsættelse</t>
  </si>
  <si>
    <t>Fane 12: Bortfald eller nedsættelse af omkostninger til mål, medfinansiering eller udvidelse</t>
  </si>
  <si>
    <t>Fane 13: Nøgletal</t>
  </si>
  <si>
    <t>Batteriskift, fjernaflæste målere</t>
  </si>
  <si>
    <t>Ø 50mm &lt; Ledningsnet ≤ Ø110 mm</t>
  </si>
  <si>
    <t>Afgift for ledningsført vand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</si>
</sst>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1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0" fillId="2" borderId="0" xfId="0" applyFill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0" fontId="0" fillId="2" borderId="0" xfId="0" applyFill="1" applyAlignment="1" applyProtection="1">
      <alignment horizont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10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9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0" t="s">
        <v>4</v>
      </c>
      <c r="E6" s="80"/>
      <c r="F6" s="80"/>
      <c r="G6" s="80"/>
      <c r="H6" s="3"/>
      <c r="I6" s="1"/>
    </row>
    <row r="7" spans="1:9" ht="15" customHeight="1" x14ac:dyDescent="0.25">
      <c r="A7" s="1"/>
      <c r="B7" s="1"/>
      <c r="C7" s="3"/>
      <c r="D7" s="80"/>
      <c r="E7" s="80"/>
      <c r="F7" s="80"/>
      <c r="G7" s="80"/>
      <c r="H7" s="3"/>
      <c r="I7" s="1"/>
    </row>
    <row r="8" spans="1:9" ht="15.75" x14ac:dyDescent="0.25">
      <c r="A8" s="1"/>
      <c r="B8" s="1"/>
      <c r="C8" s="4"/>
      <c r="D8" s="85" t="s">
        <v>137</v>
      </c>
      <c r="E8" s="85"/>
      <c r="F8" s="85"/>
      <c r="G8" s="8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4" t="s">
        <v>5</v>
      </c>
      <c r="E11" s="84"/>
      <c r="F11" s="84"/>
      <c r="G11" s="8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7" t="s">
        <v>34</v>
      </c>
      <c r="E13" s="78"/>
      <c r="F13" s="78"/>
      <c r="G13" s="79"/>
      <c r="H13" s="1"/>
      <c r="I13" s="1"/>
    </row>
    <row r="14" spans="1:9" x14ac:dyDescent="0.25">
      <c r="A14" s="1"/>
      <c r="B14" s="1"/>
      <c r="C14" s="6" t="s">
        <v>33</v>
      </c>
      <c r="D14" s="77" t="s">
        <v>120</v>
      </c>
      <c r="E14" s="78"/>
      <c r="F14" s="78"/>
      <c r="G14" s="79"/>
      <c r="H14" s="1"/>
      <c r="I14" s="1"/>
    </row>
    <row r="15" spans="1:9" x14ac:dyDescent="0.25">
      <c r="A15" s="1"/>
      <c r="B15" s="1"/>
      <c r="C15" s="6" t="s">
        <v>119</v>
      </c>
      <c r="D15" s="77" t="s">
        <v>122</v>
      </c>
      <c r="E15" s="78"/>
      <c r="F15" s="78"/>
      <c r="G15" s="79"/>
      <c r="H15" s="1"/>
      <c r="I15" s="1"/>
    </row>
    <row r="16" spans="1:9" x14ac:dyDescent="0.25">
      <c r="A16" s="1"/>
      <c r="B16" s="1"/>
      <c r="C16" s="6" t="s">
        <v>121</v>
      </c>
      <c r="D16" s="77" t="s">
        <v>138</v>
      </c>
      <c r="E16" s="78"/>
      <c r="F16" s="78"/>
      <c r="G16" s="79"/>
      <c r="H16" s="1"/>
      <c r="I16" s="1"/>
    </row>
    <row r="17" spans="1:9" x14ac:dyDescent="0.25">
      <c r="A17" s="1"/>
      <c r="B17" s="1"/>
      <c r="C17" s="6" t="s">
        <v>7</v>
      </c>
      <c r="D17" s="68" t="s">
        <v>123</v>
      </c>
      <c r="E17" s="69"/>
      <c r="F17" s="69"/>
      <c r="G17" s="70"/>
      <c r="H17" s="1"/>
      <c r="I17" s="1"/>
    </row>
    <row r="18" spans="1:9" x14ac:dyDescent="0.25">
      <c r="A18" s="1"/>
      <c r="B18" s="1"/>
      <c r="C18" s="6" t="s">
        <v>8</v>
      </c>
      <c r="D18" s="68" t="s">
        <v>131</v>
      </c>
      <c r="E18" s="69"/>
      <c r="F18" s="69"/>
      <c r="G18" s="70"/>
      <c r="H18" s="1"/>
      <c r="I18" s="1"/>
    </row>
    <row r="19" spans="1:9" x14ac:dyDescent="0.25">
      <c r="A19" s="1"/>
      <c r="B19" s="1"/>
      <c r="C19" s="6" t="s">
        <v>9</v>
      </c>
      <c r="D19" s="68" t="s">
        <v>124</v>
      </c>
      <c r="E19" s="69"/>
      <c r="F19" s="69"/>
      <c r="G19" s="70"/>
      <c r="H19" s="1"/>
      <c r="I19" s="1"/>
    </row>
    <row r="20" spans="1:9" x14ac:dyDescent="0.25">
      <c r="A20" s="1"/>
      <c r="B20" s="1"/>
      <c r="C20" s="6" t="s">
        <v>10</v>
      </c>
      <c r="D20" s="71" t="s">
        <v>132</v>
      </c>
      <c r="E20" s="72"/>
      <c r="F20" s="72"/>
      <c r="G20" s="73"/>
      <c r="H20" s="1"/>
      <c r="I20" s="1"/>
    </row>
    <row r="21" spans="1:9" x14ac:dyDescent="0.25">
      <c r="A21" s="1"/>
      <c r="B21" s="1"/>
      <c r="C21" s="6" t="s">
        <v>11</v>
      </c>
      <c r="D21" s="71" t="s">
        <v>125</v>
      </c>
      <c r="E21" s="72"/>
      <c r="F21" s="72"/>
      <c r="G21" s="73"/>
      <c r="H21" s="1"/>
      <c r="I21" s="1"/>
    </row>
    <row r="22" spans="1:9" x14ac:dyDescent="0.25">
      <c r="A22" s="1"/>
      <c r="B22" s="1"/>
      <c r="C22" s="6" t="s">
        <v>12</v>
      </c>
      <c r="D22" s="81" t="s">
        <v>127</v>
      </c>
      <c r="E22" s="82"/>
      <c r="F22" s="82"/>
      <c r="G22" s="83"/>
      <c r="H22" s="1"/>
      <c r="I22" s="1"/>
    </row>
    <row r="23" spans="1:9" x14ac:dyDescent="0.25">
      <c r="A23" s="1"/>
      <c r="B23" s="1"/>
      <c r="C23" s="6" t="s">
        <v>13</v>
      </c>
      <c r="D23" s="74" t="s">
        <v>126</v>
      </c>
      <c r="E23" s="75"/>
      <c r="F23" s="75"/>
      <c r="G23" s="76"/>
      <c r="H23" s="1"/>
      <c r="I23" s="1"/>
    </row>
    <row r="24" spans="1:9" x14ac:dyDescent="0.25">
      <c r="A24" s="1"/>
      <c r="B24" s="1"/>
      <c r="C24" s="6" t="s">
        <v>27</v>
      </c>
      <c r="D24" s="74" t="s">
        <v>128</v>
      </c>
      <c r="E24" s="75"/>
      <c r="F24" s="75"/>
      <c r="G24" s="76"/>
      <c r="H24" s="1"/>
      <c r="I24" s="1"/>
    </row>
    <row r="25" spans="1:9" x14ac:dyDescent="0.25">
      <c r="A25" s="1"/>
      <c r="B25" s="1"/>
      <c r="C25" s="6" t="s">
        <v>31</v>
      </c>
      <c r="D25" s="74" t="s">
        <v>30</v>
      </c>
      <c r="E25" s="75"/>
      <c r="F25" s="75"/>
      <c r="G25" s="76"/>
      <c r="H25" s="1"/>
      <c r="I25" s="1"/>
    </row>
    <row r="26" spans="1:9" x14ac:dyDescent="0.25">
      <c r="A26" s="1"/>
      <c r="B26" s="1"/>
      <c r="C26" s="6" t="s">
        <v>32</v>
      </c>
      <c r="D26" s="65" t="s">
        <v>129</v>
      </c>
      <c r="E26" s="66"/>
      <c r="F26" s="66"/>
      <c r="G26" s="67"/>
      <c r="H26" s="1"/>
      <c r="I26" s="1"/>
    </row>
    <row r="27" spans="1:9" x14ac:dyDescent="0.25">
      <c r="A27" s="1"/>
      <c r="B27" s="1"/>
      <c r="C27" s="6" t="s">
        <v>130</v>
      </c>
      <c r="D27" s="65" t="s">
        <v>58</v>
      </c>
      <c r="E27" s="66"/>
      <c r="F27" s="66"/>
      <c r="G27" s="67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8">
    <mergeCell ref="D14:G14"/>
    <mergeCell ref="D6:G7"/>
    <mergeCell ref="D22:G22"/>
    <mergeCell ref="D23:G23"/>
    <mergeCell ref="D11:G11"/>
    <mergeCell ref="D8:G8"/>
    <mergeCell ref="D15:G15"/>
    <mergeCell ref="D16:G16"/>
    <mergeCell ref="D17:G17"/>
    <mergeCell ref="D18:G18"/>
    <mergeCell ref="D20:G20"/>
    <mergeCell ref="D13:G13"/>
    <mergeCell ref="D26:G26"/>
    <mergeCell ref="D27:G27"/>
    <mergeCell ref="D19:G19"/>
    <mergeCell ref="D21:G21"/>
    <mergeCell ref="D24:G24"/>
    <mergeCell ref="D25:G25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22:G22" location="'Fane 8. Hist. over el. underdæk'!A1" display="Hist. over el. underdæk"/>
    <hyperlink ref="D25:G25" location="'Fane 11. Tillæg'!A1" display="Tillæg"/>
    <hyperlink ref="D26:G26" location="'Fane 12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Ikke-påvirkelige omk.'!A1" display="Ikke-påvirkelige omk."/>
    <hyperlink ref="D20:G20" location="'Fane 6. Individuelt eff. krav'!A1" display="Individuelt eff. Krav"/>
    <hyperlink ref="D21:G21" location="'Fane 7. Generelt eff. krav'!A1" display="Generelt eff. Krav"/>
    <hyperlink ref="D23:G23" location="'Fane 9. Kontrol af ØR2017'!A1" display="Kontrol af ØR2017"/>
    <hyperlink ref="D24:G24" location="'Fane 10. Anlægsprojekter'!A1" display="Anlægsprojekter"/>
    <hyperlink ref="D27:G27" location="'Fane 13. Nøgletal'!A1" display="Nøgletal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15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85</v>
      </c>
      <c r="C9" s="91"/>
      <c r="D9" s="91"/>
      <c r="E9" s="91"/>
      <c r="F9" s="92"/>
      <c r="G9" s="55">
        <v>1061940.3237896385</v>
      </c>
      <c r="H9" s="22" t="s">
        <v>3</v>
      </c>
      <c r="I9" s="1"/>
    </row>
    <row r="10" spans="1:9" x14ac:dyDescent="0.25">
      <c r="A10" s="1"/>
      <c r="B10" s="90" t="s">
        <v>86</v>
      </c>
      <c r="C10" s="91"/>
      <c r="D10" s="91"/>
      <c r="E10" s="91"/>
      <c r="F10" s="92"/>
      <c r="G10" s="55">
        <f>G9/G17</f>
        <v>53097016.189481921</v>
      </c>
      <c r="H10" s="22" t="s">
        <v>3</v>
      </c>
      <c r="I10" s="1"/>
    </row>
    <row r="11" spans="1:9" x14ac:dyDescent="0.25">
      <c r="A11" s="1"/>
      <c r="B11" s="90" t="s">
        <v>87</v>
      </c>
      <c r="C11" s="91"/>
      <c r="D11" s="91"/>
      <c r="E11" s="91"/>
      <c r="F11" s="92"/>
      <c r="G11" s="55">
        <v>978183.39656718448</v>
      </c>
      <c r="H11" s="22" t="s">
        <v>3</v>
      </c>
      <c r="I11" s="1"/>
    </row>
    <row r="12" spans="1:9" x14ac:dyDescent="0.25">
      <c r="A12" s="1"/>
      <c r="B12" s="90" t="s">
        <v>88</v>
      </c>
      <c r="C12" s="91"/>
      <c r="D12" s="91"/>
      <c r="E12" s="91"/>
      <c r="F12" s="92"/>
      <c r="G12" s="55">
        <f>G11/G19</f>
        <v>107492680.94144884</v>
      </c>
      <c r="H12" s="22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81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90</v>
      </c>
      <c r="C17" s="91"/>
      <c r="D17" s="91"/>
      <c r="E17" s="91"/>
      <c r="F17" s="92"/>
      <c r="G17" s="54">
        <v>0.02</v>
      </c>
      <c r="H17" s="22"/>
      <c r="I17" s="1"/>
    </row>
    <row r="18" spans="1:9" x14ac:dyDescent="0.25">
      <c r="A18" s="1"/>
      <c r="B18" s="90" t="s">
        <v>89</v>
      </c>
      <c r="C18" s="91"/>
      <c r="D18" s="91"/>
      <c r="E18" s="91"/>
      <c r="F18" s="92"/>
      <c r="G18" s="54">
        <v>0.02</v>
      </c>
      <c r="H18" s="22"/>
      <c r="I18" s="1"/>
    </row>
    <row r="19" spans="1:9" x14ac:dyDescent="0.25">
      <c r="A19" s="1"/>
      <c r="B19" s="90" t="s">
        <v>91</v>
      </c>
      <c r="C19" s="91"/>
      <c r="D19" s="91"/>
      <c r="E19" s="91"/>
      <c r="F19" s="92"/>
      <c r="G19" s="54">
        <v>9.1000000000000004E-3</v>
      </c>
      <c r="H19" s="22"/>
      <c r="I19" s="1"/>
    </row>
    <row r="20" spans="1:9" x14ac:dyDescent="0.25">
      <c r="A20" s="1"/>
      <c r="B20" s="90" t="s">
        <v>149</v>
      </c>
      <c r="C20" s="91"/>
      <c r="D20" s="91"/>
      <c r="E20" s="91"/>
      <c r="F20" s="92"/>
      <c r="G20" s="54">
        <v>8.6999999999999994E-3</v>
      </c>
      <c r="H20" s="22"/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1">
    <mergeCell ref="B3:H4"/>
    <mergeCell ref="B8:H8"/>
    <mergeCell ref="B9:F9"/>
    <mergeCell ref="B10:F10"/>
    <mergeCell ref="B11:F11"/>
    <mergeCell ref="B20:F20"/>
    <mergeCell ref="B12:F12"/>
    <mergeCell ref="B16:H16"/>
    <mergeCell ref="B17:F17"/>
    <mergeCell ref="B18:F18"/>
    <mergeCell ref="B19:F1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18</v>
      </c>
      <c r="C9" s="91"/>
      <c r="D9" s="91"/>
      <c r="E9" s="91"/>
      <c r="F9" s="92"/>
      <c r="G9" s="11">
        <v>39178000</v>
      </c>
      <c r="H9" s="22" t="s">
        <v>3</v>
      </c>
      <c r="I9" s="1"/>
    </row>
    <row r="10" spans="1:9" x14ac:dyDescent="0.25">
      <c r="A10" s="1"/>
      <c r="B10" s="90" t="s">
        <v>53</v>
      </c>
      <c r="C10" s="91"/>
      <c r="D10" s="91"/>
      <c r="E10" s="91"/>
      <c r="F10" s="92"/>
      <c r="G10" s="11">
        <v>31403223</v>
      </c>
      <c r="H10" s="22" t="s">
        <v>3</v>
      </c>
      <c r="I10" s="1"/>
    </row>
    <row r="11" spans="1:9" x14ac:dyDescent="0.25">
      <c r="A11" s="1"/>
      <c r="B11" s="99" t="s">
        <v>21</v>
      </c>
      <c r="C11" s="100"/>
      <c r="D11" s="100"/>
      <c r="E11" s="100"/>
      <c r="F11" s="101"/>
      <c r="G11" s="31">
        <f>G9-G10</f>
        <v>7774777</v>
      </c>
      <c r="H11" s="26" t="s">
        <v>3</v>
      </c>
      <c r="I11" s="1"/>
    </row>
    <row r="12" spans="1:9" x14ac:dyDescent="0.25">
      <c r="A12" s="1"/>
      <c r="B12" s="90" t="s">
        <v>19</v>
      </c>
      <c r="C12" s="91"/>
      <c r="D12" s="91"/>
      <c r="E12" s="91"/>
      <c r="F12" s="92"/>
      <c r="G12" s="11">
        <v>2</v>
      </c>
      <c r="H12" s="22" t="s">
        <v>43</v>
      </c>
      <c r="I12" s="1"/>
    </row>
    <row r="13" spans="1:9" x14ac:dyDescent="0.25">
      <c r="A13" s="1"/>
      <c r="B13" s="93" t="s">
        <v>17</v>
      </c>
      <c r="C13" s="94"/>
      <c r="D13" s="94"/>
      <c r="E13" s="94"/>
      <c r="F13" s="95"/>
      <c r="G13" s="20">
        <f>IF(G12 = 0,0,G11/G12)</f>
        <v>3887388.5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7">
    <mergeCell ref="B12:F12"/>
    <mergeCell ref="B13:F13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32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2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136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98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93</v>
      </c>
      <c r="C9" s="91"/>
      <c r="D9" s="92"/>
      <c r="E9" s="11">
        <v>274880034.05549437</v>
      </c>
      <c r="F9" s="22" t="s">
        <v>3</v>
      </c>
      <c r="G9" s="19"/>
      <c r="H9" s="27"/>
      <c r="I9" s="1"/>
    </row>
    <row r="10" spans="1:9" x14ac:dyDescent="0.25">
      <c r="A10" s="1"/>
      <c r="B10" s="90" t="s">
        <v>94</v>
      </c>
      <c r="C10" s="91"/>
      <c r="D10" s="92"/>
      <c r="E10" s="11">
        <v>212936386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99</v>
      </c>
      <c r="C11" s="91"/>
      <c r="D11" s="92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102" t="s">
        <v>107</v>
      </c>
      <c r="C12" s="103"/>
      <c r="D12" s="104"/>
      <c r="E12" s="17">
        <f>E9-(E10-E11)</f>
        <v>61943648.055494368</v>
      </c>
      <c r="F12" s="25" t="s">
        <v>3</v>
      </c>
      <c r="G12" s="17">
        <f>E12</f>
        <v>61943648.055494368</v>
      </c>
      <c r="H12" s="25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104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101</v>
      </c>
      <c r="C17" s="91"/>
      <c r="D17" s="92"/>
      <c r="E17" s="11">
        <v>-2725192.4233333338</v>
      </c>
      <c r="F17" s="22" t="s">
        <v>3</v>
      </c>
      <c r="G17" s="19"/>
      <c r="H17" s="27"/>
      <c r="I17" s="1"/>
    </row>
    <row r="18" spans="1:9" x14ac:dyDescent="0.25">
      <c r="A18" s="1"/>
      <c r="B18" s="90" t="s">
        <v>102</v>
      </c>
      <c r="C18" s="91"/>
      <c r="D18" s="92"/>
      <c r="E18" s="11">
        <v>38756021.149551511</v>
      </c>
      <c r="F18" s="22" t="s">
        <v>3</v>
      </c>
      <c r="G18" s="14"/>
      <c r="H18" s="28"/>
      <c r="I18" s="1"/>
    </row>
    <row r="19" spans="1:9" x14ac:dyDescent="0.25">
      <c r="A19" s="1"/>
      <c r="B19" s="102" t="s">
        <v>105</v>
      </c>
      <c r="C19" s="103"/>
      <c r="D19" s="104"/>
      <c r="E19" s="17">
        <f>SUM(E17:E18)</f>
        <v>36030828.726218179</v>
      </c>
      <c r="F19" s="25" t="s">
        <v>3</v>
      </c>
      <c r="G19" s="17">
        <f>E19</f>
        <v>36030828.726218179</v>
      </c>
      <c r="H19" s="25" t="s">
        <v>3</v>
      </c>
      <c r="I19" s="1"/>
    </row>
    <row r="20" spans="1:9" x14ac:dyDescent="0.25">
      <c r="A20" s="1"/>
      <c r="B20" s="102" t="s">
        <v>106</v>
      </c>
      <c r="C20" s="103"/>
      <c r="D20" s="104"/>
      <c r="E20" s="17">
        <f>SUM(E17:E18)*(1+Prisudvikling2018)</f>
        <v>36661368.228927001</v>
      </c>
      <c r="F20" s="25" t="s">
        <v>3</v>
      </c>
      <c r="G20" s="17">
        <f>E20</f>
        <v>36661368.228927001</v>
      </c>
      <c r="H20" s="25" t="s">
        <v>3</v>
      </c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93" t="s">
        <v>103</v>
      </c>
      <c r="C24" s="94"/>
      <c r="D24" s="94"/>
      <c r="E24" s="94"/>
      <c r="F24" s="94"/>
      <c r="G24" s="94"/>
      <c r="H24" s="95"/>
      <c r="I24" s="1"/>
    </row>
    <row r="25" spans="1:9" x14ac:dyDescent="0.25">
      <c r="A25" s="1"/>
      <c r="B25" s="108" t="s">
        <v>109</v>
      </c>
      <c r="C25" s="109"/>
      <c r="D25" s="110"/>
      <c r="E25" s="11">
        <f>IF(E12&lt;0,E20+E12,IF(E20+E12&lt;0,E20+E12,IF(E20&lt;0,0,E20)))</f>
        <v>36661368.228927001</v>
      </c>
      <c r="F25" s="22" t="s">
        <v>3</v>
      </c>
      <c r="G25" s="14"/>
      <c r="H25" s="28"/>
      <c r="I25" s="1"/>
    </row>
    <row r="26" spans="1:9" x14ac:dyDescent="0.25">
      <c r="A26" s="1"/>
      <c r="B26" s="108" t="s">
        <v>100</v>
      </c>
      <c r="C26" s="109"/>
      <c r="D26" s="110"/>
      <c r="E26" s="11">
        <v>2</v>
      </c>
      <c r="F26" s="22" t="s">
        <v>43</v>
      </c>
      <c r="G26" s="14"/>
      <c r="H26" s="28"/>
      <c r="I26" s="1"/>
    </row>
    <row r="27" spans="1:9" x14ac:dyDescent="0.25">
      <c r="A27" s="1"/>
      <c r="B27" s="108" t="s">
        <v>111</v>
      </c>
      <c r="C27" s="109"/>
      <c r="D27" s="110"/>
      <c r="E27" s="11">
        <f>E25/E26</f>
        <v>18330684.114463501</v>
      </c>
      <c r="F27" s="22" t="s">
        <v>3</v>
      </c>
      <c r="G27" s="14"/>
      <c r="H27" s="28"/>
      <c r="I27" s="1"/>
    </row>
    <row r="28" spans="1:9" ht="28.5" customHeight="1" x14ac:dyDescent="0.25">
      <c r="A28" s="1"/>
      <c r="B28" s="105" t="s">
        <v>108</v>
      </c>
      <c r="C28" s="106"/>
      <c r="D28" s="107"/>
      <c r="E28" s="11">
        <f>IF(E20+E12&gt;0,E12-(E25-E20),0)</f>
        <v>61943648.055494368</v>
      </c>
      <c r="F28" s="22" t="s">
        <v>3</v>
      </c>
      <c r="G28" s="14"/>
      <c r="H28" s="28"/>
      <c r="I28" s="1"/>
    </row>
    <row r="29" spans="1:9" x14ac:dyDescent="0.25">
      <c r="A29" s="1"/>
      <c r="B29" s="93" t="s">
        <v>110</v>
      </c>
      <c r="C29" s="94"/>
      <c r="D29" s="94"/>
      <c r="E29" s="94"/>
      <c r="F29" s="95"/>
      <c r="G29" s="20">
        <f>E27</f>
        <v>18330684.114463501</v>
      </c>
      <c r="H29" s="21" t="s">
        <v>3</v>
      </c>
      <c r="I29" s="1"/>
    </row>
    <row r="30" spans="1:9" x14ac:dyDescent="0.25">
      <c r="A30" s="1"/>
      <c r="B30" s="93" t="s">
        <v>112</v>
      </c>
      <c r="C30" s="94"/>
      <c r="D30" s="94"/>
      <c r="E30" s="94"/>
      <c r="F30" s="95"/>
      <c r="G30" s="20">
        <f>G29*(1+Prisudvikling2019)^2</f>
        <v>18955496.664222296</v>
      </c>
      <c r="H30" s="21" t="s">
        <v>3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8">
    <mergeCell ref="B30:F30"/>
    <mergeCell ref="B12:D12"/>
    <mergeCell ref="B16:H16"/>
    <mergeCell ref="B17:D17"/>
    <mergeCell ref="B18:D18"/>
    <mergeCell ref="B19:D19"/>
    <mergeCell ref="B20:D20"/>
    <mergeCell ref="B28:D28"/>
    <mergeCell ref="B24:H24"/>
    <mergeCell ref="B25:D25"/>
    <mergeCell ref="B26:D26"/>
    <mergeCell ref="B27:D27"/>
    <mergeCell ref="B29:F29"/>
    <mergeCell ref="B3:H4"/>
    <mergeCell ref="B8:H8"/>
    <mergeCell ref="B9:D9"/>
    <mergeCell ref="B10:D10"/>
    <mergeCell ref="B11:D11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142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143</v>
      </c>
      <c r="C8" s="94"/>
      <c r="D8" s="94"/>
      <c r="E8" s="94"/>
      <c r="F8" s="94"/>
      <c r="G8" s="94"/>
      <c r="H8" s="95"/>
      <c r="I8" s="1"/>
    </row>
    <row r="9" spans="1:9" ht="39.75" customHeight="1" x14ac:dyDescent="0.25">
      <c r="A9" s="1"/>
      <c r="B9" s="40" t="s">
        <v>0</v>
      </c>
      <c r="C9" s="40" t="s">
        <v>1</v>
      </c>
      <c r="D9" s="40" t="s">
        <v>20</v>
      </c>
      <c r="E9" s="18" t="s">
        <v>2</v>
      </c>
      <c r="F9" s="18" t="s">
        <v>22</v>
      </c>
      <c r="G9" s="18" t="s">
        <v>92</v>
      </c>
      <c r="H9" s="36"/>
      <c r="I9" s="1"/>
    </row>
    <row r="10" spans="1:9" ht="26.25" x14ac:dyDescent="0.25">
      <c r="A10" s="1"/>
      <c r="B10" s="60" t="s">
        <v>156</v>
      </c>
      <c r="C10" s="61">
        <v>6</v>
      </c>
      <c r="D10" s="11">
        <v>2559105</v>
      </c>
      <c r="E10" s="11">
        <f>D10/C10</f>
        <v>426517.5</v>
      </c>
      <c r="F10" s="11">
        <v>0</v>
      </c>
      <c r="G10" s="11">
        <v>45925</v>
      </c>
      <c r="H10" s="22" t="s">
        <v>3</v>
      </c>
      <c r="I10" s="1"/>
    </row>
    <row r="11" spans="1:9" ht="26.25" x14ac:dyDescent="0.25">
      <c r="A11" s="1"/>
      <c r="B11" s="60" t="s">
        <v>157</v>
      </c>
      <c r="C11" s="61">
        <v>75</v>
      </c>
      <c r="D11" s="11">
        <v>49500735</v>
      </c>
      <c r="E11" s="11">
        <f t="shared" ref="E11" si="0">D11/C11</f>
        <v>660009.80000000005</v>
      </c>
      <c r="F11" s="11">
        <v>0</v>
      </c>
      <c r="G11" s="11">
        <v>888325</v>
      </c>
      <c r="H11" s="22" t="s">
        <v>3</v>
      </c>
      <c r="I11" s="1"/>
    </row>
    <row r="12" spans="1:9" x14ac:dyDescent="0.25">
      <c r="A12" s="1"/>
      <c r="B12" s="93" t="s">
        <v>144</v>
      </c>
      <c r="C12" s="94"/>
      <c r="D12" s="95"/>
      <c r="E12" s="20">
        <f>SUM(E10:E11)</f>
        <v>1086527.3</v>
      </c>
      <c r="F12" s="20">
        <f>SUM(F10:F11)</f>
        <v>0</v>
      </c>
      <c r="G12" s="20">
        <f>SUM(G10:G11)</f>
        <v>934250</v>
      </c>
      <c r="H12" s="21" t="s">
        <v>3</v>
      </c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password="DFE9" sheet="1" objects="1" scenarios="1"/>
  <mergeCells count="3">
    <mergeCell ref="B3:H4"/>
    <mergeCell ref="B12:D12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2.140625" style="2" hidden="1" customWidth="1"/>
    <col min="4" max="4" width="16.28515625" style="2" customWidth="1"/>
    <col min="5" max="5" width="3.28515625" style="2" customWidth="1"/>
    <col min="6" max="6" width="19.140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44</v>
      </c>
      <c r="C3" s="86"/>
      <c r="D3" s="86"/>
      <c r="E3" s="86"/>
      <c r="F3" s="86"/>
      <c r="G3" s="86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86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45</v>
      </c>
      <c r="C8" s="42"/>
      <c r="D8" s="42"/>
      <c r="E8" s="42"/>
      <c r="F8" s="42"/>
      <c r="G8" s="43"/>
      <c r="H8" s="1"/>
    </row>
    <row r="9" spans="1:8" ht="17.25" customHeight="1" x14ac:dyDescent="0.25">
      <c r="A9" s="1"/>
      <c r="B9" s="37" t="s">
        <v>39</v>
      </c>
      <c r="C9" s="38"/>
      <c r="D9" s="37" t="s">
        <v>22</v>
      </c>
      <c r="E9" s="38"/>
      <c r="F9" s="37" t="s">
        <v>95</v>
      </c>
      <c r="G9" s="36"/>
      <c r="H9" s="1"/>
    </row>
    <row r="10" spans="1:8" x14ac:dyDescent="0.25">
      <c r="A10" s="1"/>
      <c r="B10" s="56" t="s">
        <v>143</v>
      </c>
      <c r="C10" s="57"/>
      <c r="D10" s="53">
        <f>'Fane 10. Anlægsprojekter'!F12</f>
        <v>0</v>
      </c>
      <c r="E10" s="22" t="s">
        <v>3</v>
      </c>
      <c r="F10" s="11">
        <f>SUM('Fane 10. Anlægsprojekter'!E12,'Fane 10. Anlægsprojekter'!G12)</f>
        <v>2020777.3</v>
      </c>
      <c r="G10" s="22" t="s">
        <v>3</v>
      </c>
      <c r="H10" s="1"/>
    </row>
    <row r="11" spans="1:8" x14ac:dyDescent="0.25">
      <c r="A11" s="1"/>
      <c r="B11" s="41" t="s">
        <v>145</v>
      </c>
      <c r="C11" s="43"/>
      <c r="D11" s="20">
        <f>SUM(D10:D10)</f>
        <v>0</v>
      </c>
      <c r="E11" s="21" t="s">
        <v>3</v>
      </c>
      <c r="F11" s="20">
        <f>SUM(F10:F10)</f>
        <v>2020777.3</v>
      </c>
      <c r="G11" s="21" t="s">
        <v>3</v>
      </c>
      <c r="H11" s="1"/>
    </row>
    <row r="12" spans="1:8" x14ac:dyDescent="0.25">
      <c r="A12" s="1"/>
      <c r="B12" s="41" t="s">
        <v>146</v>
      </c>
      <c r="C12" s="43"/>
      <c r="D12" s="20">
        <f>D11*(1+Prisudvikling2019)</f>
        <v>0</v>
      </c>
      <c r="E12" s="21" t="s">
        <v>3</v>
      </c>
      <c r="F12" s="20">
        <f>F11*(1+Prisudvikling2019)</f>
        <v>2054928.4363699998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5.7109375" style="2" customWidth="1"/>
    <col min="5" max="5" width="3.28515625" style="2" customWidth="1"/>
    <col min="6" max="6" width="18.425781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154</v>
      </c>
      <c r="C3" s="88"/>
      <c r="D3" s="88"/>
      <c r="E3" s="88"/>
      <c r="F3" s="88"/>
      <c r="G3" s="88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8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40</v>
      </c>
      <c r="C8" s="42"/>
      <c r="D8" s="42"/>
      <c r="E8" s="42"/>
      <c r="F8" s="42"/>
      <c r="G8" s="43"/>
      <c r="H8" s="1"/>
    </row>
    <row r="9" spans="1:8" ht="15" customHeight="1" x14ac:dyDescent="0.25">
      <c r="A9" s="1"/>
      <c r="B9" s="29" t="s">
        <v>41</v>
      </c>
      <c r="C9" s="30"/>
      <c r="D9" s="29" t="s">
        <v>22</v>
      </c>
      <c r="E9" s="36"/>
      <c r="F9" s="29" t="s">
        <v>95</v>
      </c>
      <c r="G9" s="36"/>
      <c r="H9" s="1"/>
    </row>
    <row r="10" spans="1:8" x14ac:dyDescent="0.25">
      <c r="A10" s="1"/>
      <c r="B10" s="56" t="s">
        <v>153</v>
      </c>
      <c r="C10" s="62"/>
      <c r="D10" s="11">
        <v>0</v>
      </c>
      <c r="E10" s="22" t="s">
        <v>3</v>
      </c>
      <c r="F10" s="11">
        <v>0</v>
      </c>
      <c r="G10" s="22" t="s">
        <v>3</v>
      </c>
      <c r="H10" s="1"/>
    </row>
    <row r="11" spans="1:8" x14ac:dyDescent="0.25">
      <c r="A11" s="1"/>
      <c r="B11" s="41" t="s">
        <v>147</v>
      </c>
      <c r="C11" s="43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1" t="s">
        <v>148</v>
      </c>
      <c r="C12" s="43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37.85546875" style="2" customWidth="1"/>
    <col min="3" max="3" width="10.85546875" style="2" customWidth="1"/>
    <col min="4" max="4" width="2.28515625" style="2" customWidth="1"/>
    <col min="5" max="5" width="2.85546875" style="2" customWidth="1"/>
    <col min="6" max="6" width="6.28515625" style="2" customWidth="1"/>
    <col min="7" max="7" width="4.28515625" style="2" hidden="1" customWidth="1"/>
    <col min="8" max="8" width="12.28515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155</v>
      </c>
      <c r="C3" s="88"/>
      <c r="D3" s="88"/>
      <c r="E3" s="88"/>
      <c r="F3" s="88"/>
      <c r="G3" s="1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28</v>
      </c>
      <c r="C8" s="42"/>
      <c r="D8" s="42"/>
      <c r="E8" s="42"/>
      <c r="F8" s="43"/>
      <c r="G8" s="43"/>
      <c r="H8" s="1"/>
    </row>
    <row r="9" spans="1:8" x14ac:dyDescent="0.25">
      <c r="A9" s="1"/>
      <c r="B9" s="47" t="s">
        <v>50</v>
      </c>
      <c r="C9" s="48"/>
      <c r="D9" s="48"/>
      <c r="E9" s="49"/>
      <c r="F9" s="58">
        <v>1.2699999999999999E-2</v>
      </c>
      <c r="G9" s="59"/>
      <c r="H9" s="1"/>
    </row>
    <row r="10" spans="1:8" x14ac:dyDescent="0.25">
      <c r="A10" s="1"/>
      <c r="B10" s="47" t="s">
        <v>51</v>
      </c>
      <c r="C10" s="48"/>
      <c r="D10" s="48"/>
      <c r="E10" s="49"/>
      <c r="F10" s="58">
        <v>1.7500000000000002E-2</v>
      </c>
      <c r="G10" s="59"/>
      <c r="H10" s="1"/>
    </row>
    <row r="11" spans="1:8" x14ac:dyDescent="0.25">
      <c r="A11" s="1"/>
      <c r="B11" s="47" t="s">
        <v>52</v>
      </c>
      <c r="C11" s="48"/>
      <c r="D11" s="48"/>
      <c r="E11" s="49"/>
      <c r="F11" s="58">
        <v>1.6899999999999998E-2</v>
      </c>
      <c r="G11" s="59"/>
      <c r="H11" s="1"/>
    </row>
    <row r="12" spans="1:8" x14ac:dyDescent="0.25">
      <c r="A12" s="1"/>
      <c r="B12" s="41"/>
      <c r="C12" s="42"/>
      <c r="D12" s="42"/>
      <c r="E12" s="42"/>
      <c r="F12" s="43"/>
      <c r="G12" s="43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33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44.855468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47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29.25" customHeight="1" x14ac:dyDescent="0.25">
      <c r="A9" s="1"/>
      <c r="B9" s="44" t="s">
        <v>56</v>
      </c>
      <c r="C9" s="7">
        <f>'Fane 3. Omkostninger i ØR2018'!G11</f>
        <v>152250786.40154386</v>
      </c>
      <c r="D9" s="8" t="s">
        <v>3</v>
      </c>
      <c r="E9" s="9"/>
      <c r="F9" s="10"/>
      <c r="G9" s="1"/>
    </row>
    <row r="10" spans="1:7" ht="17.100000000000001" customHeight="1" x14ac:dyDescent="0.25">
      <c r="A10" s="1"/>
      <c r="B10" s="39" t="s">
        <v>73</v>
      </c>
      <c r="C10" s="7">
        <f>'Fane 4. Korrigeret grundlag'!F22</f>
        <v>0</v>
      </c>
      <c r="D10" s="8" t="s">
        <v>3</v>
      </c>
      <c r="E10" s="32"/>
      <c r="F10" s="13"/>
      <c r="G10" s="1"/>
    </row>
    <row r="11" spans="1:7" ht="17.100000000000001" customHeight="1" x14ac:dyDescent="0.25">
      <c r="A11" s="1"/>
      <c r="B11" s="39" t="s">
        <v>72</v>
      </c>
      <c r="C11" s="7">
        <f>'Fane 4. Korrigeret grundlag'!F23</f>
        <v>220247.85752563563</v>
      </c>
      <c r="D11" s="8" t="s">
        <v>3</v>
      </c>
      <c r="E11" s="32"/>
      <c r="F11" s="13"/>
      <c r="G11" s="1"/>
    </row>
    <row r="12" spans="1:7" ht="17.100000000000001" customHeight="1" x14ac:dyDescent="0.25">
      <c r="A12" s="1"/>
      <c r="B12" s="64" t="s">
        <v>77</v>
      </c>
      <c r="C12" s="7">
        <f>'Fane 11. Tillæg'!D12</f>
        <v>0</v>
      </c>
      <c r="D12" s="8" t="s">
        <v>3</v>
      </c>
      <c r="E12" s="32"/>
      <c r="F12" s="13"/>
      <c r="G12" s="1"/>
    </row>
    <row r="13" spans="1:7" ht="17.100000000000001" customHeight="1" x14ac:dyDescent="0.25">
      <c r="A13" s="1"/>
      <c r="B13" s="64" t="s">
        <v>76</v>
      </c>
      <c r="C13" s="11">
        <f>'Fane 11. Tillæg'!F12</f>
        <v>2054928.4363699998</v>
      </c>
      <c r="D13" s="8" t="s">
        <v>3</v>
      </c>
      <c r="E13" s="12"/>
      <c r="F13" s="13"/>
      <c r="G13" s="1"/>
    </row>
    <row r="14" spans="1:7" ht="17.100000000000001" customHeight="1" x14ac:dyDescent="0.25">
      <c r="A14" s="1"/>
      <c r="B14" s="64" t="s">
        <v>79</v>
      </c>
      <c r="C14" s="11">
        <f>-'Fane 12. Bortfald'!D12</f>
        <v>0</v>
      </c>
      <c r="D14" s="8" t="s">
        <v>3</v>
      </c>
      <c r="E14" s="12"/>
      <c r="F14" s="13"/>
      <c r="G14" s="1"/>
    </row>
    <row r="15" spans="1:7" ht="17.100000000000001" customHeight="1" x14ac:dyDescent="0.25">
      <c r="A15" s="1"/>
      <c r="B15" s="64" t="s">
        <v>78</v>
      </c>
      <c r="C15" s="11">
        <f>-'Fane 12. Bortfald'!F12</f>
        <v>0</v>
      </c>
      <c r="D15" s="8" t="s">
        <v>3</v>
      </c>
      <c r="E15" s="12"/>
      <c r="F15" s="13"/>
      <c r="G15" s="1"/>
    </row>
    <row r="16" spans="1:7" ht="17.100000000000001" customHeight="1" x14ac:dyDescent="0.25">
      <c r="A16" s="1"/>
      <c r="B16" s="64" t="s">
        <v>42</v>
      </c>
      <c r="C16" s="11">
        <f>SUM(C9:C15)*Prisudvikling2019</f>
        <v>2611488.769552927</v>
      </c>
      <c r="D16" s="8" t="s">
        <v>3</v>
      </c>
      <c r="E16" s="12"/>
      <c r="F16" s="13"/>
      <c r="G16" s="1"/>
    </row>
    <row r="17" spans="1:7" ht="17.100000000000001" customHeight="1" x14ac:dyDescent="0.25">
      <c r="A17" s="1"/>
      <c r="B17" s="64" t="s">
        <v>14</v>
      </c>
      <c r="C17" s="11">
        <f>-SUM(C9:C16)*'Fane 6. Individuelt eff. krav'!G9</f>
        <v>-2021421.2751931581</v>
      </c>
      <c r="D17" s="8" t="s">
        <v>3</v>
      </c>
      <c r="E17" s="12"/>
      <c r="F17" s="13"/>
      <c r="G17" s="1"/>
    </row>
    <row r="18" spans="1:7" ht="17.100000000000001" customHeight="1" x14ac:dyDescent="0.25">
      <c r="A18" s="1"/>
      <c r="B18" s="64" t="s">
        <v>70</v>
      </c>
      <c r="C18" s="11">
        <f>-(('Fane 7. Generelt eff. krav'!G10-'Fane 7. Generelt eff. krav'!G9)+SUM('Fane 2.1. Økonomisk ramme 2019'!C10,'Fane 2.1. Økonomisk ramme 2019'!C12,'Fane 2.1. Økonomisk ramme 2019'!C14))*(1+Prisudvikling2019)*GenereltKravDrift</f>
        <v>-1058289.3729564496</v>
      </c>
      <c r="D18" s="8" t="s">
        <v>3</v>
      </c>
      <c r="E18" s="12"/>
      <c r="F18" s="13"/>
      <c r="G18" s="1"/>
    </row>
    <row r="19" spans="1:7" ht="17.100000000000001" customHeight="1" x14ac:dyDescent="0.25">
      <c r="A19" s="1"/>
      <c r="B19" s="64" t="s">
        <v>71</v>
      </c>
      <c r="C19" s="11">
        <f>-(('Fane 7. Generelt eff. krav'!G12-'Fane 7. Generelt eff. krav'!G11)+SUM('Fane 2.1. Økonomisk ramme 2019'!C11,'Fane 2.1. Økonomisk ramme 2019'!C13,'Fane 2.1. Økonomisk ramme 2019'!C15))*(1+Prisudvikling2019)*GenereltKravAnlæg</f>
        <v>-962465.50814187771</v>
      </c>
      <c r="D19" s="8" t="s">
        <v>3</v>
      </c>
      <c r="E19" s="15"/>
      <c r="F19" s="16"/>
      <c r="G19" s="1"/>
    </row>
    <row r="20" spans="1:7" ht="17.100000000000001" customHeight="1" x14ac:dyDescent="0.25">
      <c r="A20" s="1"/>
      <c r="B20" s="63" t="s">
        <v>46</v>
      </c>
      <c r="C20" s="17">
        <f>SUM(C9:C19)</f>
        <v>153095275.30870092</v>
      </c>
      <c r="D20" s="18" t="s">
        <v>3</v>
      </c>
      <c r="E20" s="17">
        <f>C20</f>
        <v>153095275.30870092</v>
      </c>
      <c r="F20" s="18" t="s">
        <v>3</v>
      </c>
      <c r="G20" s="1"/>
    </row>
    <row r="21" spans="1:7" ht="15" customHeight="1" x14ac:dyDescent="0.25">
      <c r="A21" s="1"/>
      <c r="B21" s="41" t="s">
        <v>23</v>
      </c>
      <c r="C21" s="42"/>
      <c r="D21" s="42"/>
      <c r="E21" s="42"/>
      <c r="F21" s="43"/>
      <c r="G21" s="1"/>
    </row>
    <row r="22" spans="1:7" ht="15" customHeight="1" x14ac:dyDescent="0.25">
      <c r="A22" s="1"/>
      <c r="B22" s="29" t="s">
        <v>23</v>
      </c>
      <c r="C22" s="17">
        <f>'Fane 5. Ikke-påvirkelige omk.'!E15</f>
        <v>78570636.405003831</v>
      </c>
      <c r="D22" s="18" t="s">
        <v>3</v>
      </c>
      <c r="E22" s="17">
        <f>C22</f>
        <v>78570636.405003831</v>
      </c>
      <c r="F22" s="18" t="s">
        <v>3</v>
      </c>
      <c r="G22" s="1"/>
    </row>
    <row r="23" spans="1:7" ht="15" customHeight="1" x14ac:dyDescent="0.25">
      <c r="A23" s="1"/>
      <c r="B23" s="41" t="s">
        <v>84</v>
      </c>
      <c r="C23" s="42"/>
      <c r="D23" s="42"/>
      <c r="E23" s="42"/>
      <c r="F23" s="43"/>
      <c r="G23" s="1"/>
    </row>
    <row r="24" spans="1:7" ht="28.5" customHeight="1" x14ac:dyDescent="0.25">
      <c r="A24" s="1"/>
      <c r="B24" s="29" t="s">
        <v>57</v>
      </c>
      <c r="C24" s="17">
        <v>373452.51017237979</v>
      </c>
      <c r="D24" s="18" t="s">
        <v>3</v>
      </c>
      <c r="E24" s="17">
        <f>C24</f>
        <v>373452.51017237979</v>
      </c>
      <c r="F24" s="18" t="s">
        <v>3</v>
      </c>
      <c r="G24" s="1"/>
    </row>
    <row r="25" spans="1:7" x14ac:dyDescent="0.25">
      <c r="A25" s="1"/>
      <c r="B25" s="41" t="s">
        <v>16</v>
      </c>
      <c r="C25" s="42"/>
      <c r="D25" s="42"/>
      <c r="E25" s="42"/>
      <c r="F25" s="43"/>
      <c r="G25" s="1"/>
    </row>
    <row r="26" spans="1:7" ht="15" customHeight="1" x14ac:dyDescent="0.25">
      <c r="A26" s="1"/>
      <c r="B26" s="29" t="s">
        <v>25</v>
      </c>
      <c r="C26" s="17">
        <f>'Fane 8. Hist. over el. underdæk'!G13</f>
        <v>3887388.5</v>
      </c>
      <c r="D26" s="18" t="s">
        <v>3</v>
      </c>
      <c r="E26" s="17">
        <f>C26</f>
        <v>3887388.5</v>
      </c>
      <c r="F26" s="18" t="s">
        <v>3</v>
      </c>
      <c r="G26" s="1"/>
    </row>
    <row r="27" spans="1:7" x14ac:dyDescent="0.25">
      <c r="A27" s="1"/>
      <c r="B27" s="41" t="s">
        <v>109</v>
      </c>
      <c r="C27" s="42"/>
      <c r="D27" s="42"/>
      <c r="E27" s="42"/>
      <c r="F27" s="43"/>
      <c r="G27" s="1"/>
    </row>
    <row r="28" spans="1:7" ht="15" customHeight="1" x14ac:dyDescent="0.25">
      <c r="A28" s="1"/>
      <c r="B28" s="29" t="s">
        <v>113</v>
      </c>
      <c r="C28" s="17">
        <f>'Fane 9. Kontrol af ØR2017'!G30</f>
        <v>18955496.664222296</v>
      </c>
      <c r="D28" s="18" t="s">
        <v>3</v>
      </c>
      <c r="E28" s="17">
        <f>C28</f>
        <v>18955496.664222296</v>
      </c>
      <c r="F28" s="18" t="s">
        <v>3</v>
      </c>
      <c r="G28" s="1"/>
    </row>
    <row r="29" spans="1:7" x14ac:dyDescent="0.25">
      <c r="A29" s="1"/>
      <c r="B29" s="41" t="s">
        <v>36</v>
      </c>
      <c r="C29" s="42"/>
      <c r="D29" s="43"/>
      <c r="E29" s="20">
        <f>SUM(E20,E22,E24,E26,E28:E28)</f>
        <v>254882249.38809943</v>
      </c>
      <c r="F29" s="21" t="s">
        <v>3</v>
      </c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7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48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15" customHeight="1" x14ac:dyDescent="0.25">
      <c r="A9" s="1"/>
      <c r="B9" s="44" t="s">
        <v>59</v>
      </c>
      <c r="C9" s="7">
        <f>'Fane 2.1. Økonomisk ramme 2019'!E20</f>
        <v>153095275.30870092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5" t="s">
        <v>42</v>
      </c>
      <c r="C10" s="11">
        <f>C9*Prisudvikling2019</f>
        <v>2587310.1527170455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14</v>
      </c>
      <c r="C11" s="11">
        <f>-SUM(C9:C10)*'Fane 6. Individuelt eff. krav'!G9</f>
        <v>-2002705.8317087269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5" t="s">
        <v>70</v>
      </c>
      <c r="C12" s="11">
        <f>('Fane 2.1. Økonomisk ramme 2019'!C18/GenereltKravDrift-'Fane 2.1. Økonomisk ramme 2019'!C18)*(1+Prisudvikling2019)*GenereltKravDrift</f>
        <v>-1054650.9740922253</v>
      </c>
      <c r="D12" s="8" t="s">
        <v>3</v>
      </c>
      <c r="E12" s="14"/>
      <c r="F12" s="13"/>
      <c r="G12" s="1"/>
    </row>
    <row r="13" spans="1:7" ht="15" customHeight="1" x14ac:dyDescent="0.25">
      <c r="A13" s="1"/>
      <c r="B13" s="45" t="s">
        <v>71</v>
      </c>
      <c r="C13" s="11">
        <f>('Fane 2.1. Økonomisk ramme 2019'!C19/GenereltKravAnlæg-'Fane 2.1. Økonomisk ramme 2019'!C19)*(1+Prisudvikling2019)*GenereltKravAnlæg</f>
        <v>-970216.214004979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6" t="s">
        <v>46</v>
      </c>
      <c r="C14" s="17">
        <f>SUM(C9:C13)</f>
        <v>151655012.44161204</v>
      </c>
      <c r="D14" s="18" t="s">
        <v>3</v>
      </c>
      <c r="E14" s="17">
        <f>C14</f>
        <v>151655012.44161204</v>
      </c>
      <c r="F14" s="18" t="s">
        <v>3</v>
      </c>
      <c r="G14" s="1"/>
    </row>
    <row r="15" spans="1:7" x14ac:dyDescent="0.25">
      <c r="A15" s="1"/>
      <c r="B15" s="41" t="s">
        <v>23</v>
      </c>
      <c r="C15" s="42"/>
      <c r="D15" s="42"/>
      <c r="E15" s="42"/>
      <c r="F15" s="43"/>
      <c r="G15" s="1"/>
    </row>
    <row r="16" spans="1:7" ht="15" customHeight="1" x14ac:dyDescent="0.25">
      <c r="A16" s="1"/>
      <c r="B16" s="29" t="s">
        <v>23</v>
      </c>
      <c r="C16" s="17">
        <f>'Fane 5. Ikke-påvirkelige omk.'!E15*(1+Prisudvikling2019)</f>
        <v>79898480.160248384</v>
      </c>
      <c r="D16" s="18" t="s">
        <v>3</v>
      </c>
      <c r="E16" s="17">
        <f>C16</f>
        <v>79898480.160248384</v>
      </c>
      <c r="F16" s="18" t="s">
        <v>3</v>
      </c>
      <c r="G16" s="1"/>
    </row>
    <row r="17" spans="1:7" x14ac:dyDescent="0.25">
      <c r="A17" s="1"/>
      <c r="B17" s="41" t="s">
        <v>16</v>
      </c>
      <c r="C17" s="42"/>
      <c r="D17" s="42"/>
      <c r="E17" s="42"/>
      <c r="F17" s="43"/>
      <c r="G17" s="1"/>
    </row>
    <row r="18" spans="1:7" ht="15" customHeight="1" x14ac:dyDescent="0.25">
      <c r="A18" s="1"/>
      <c r="B18" s="29" t="s">
        <v>25</v>
      </c>
      <c r="C18" s="17">
        <f>IF('Fane 8. Hist. over el. underdæk'!G12&gt;1,'Fane 8. Hist. over el. underdæk'!G13,0)</f>
        <v>3887388.5</v>
      </c>
      <c r="D18" s="18" t="s">
        <v>3</v>
      </c>
      <c r="E18" s="17">
        <f>C18</f>
        <v>3887388.5</v>
      </c>
      <c r="F18" s="18" t="s">
        <v>3</v>
      </c>
      <c r="G18" s="1"/>
    </row>
    <row r="19" spans="1:7" x14ac:dyDescent="0.25">
      <c r="A19" s="1"/>
      <c r="B19" s="41" t="s">
        <v>109</v>
      </c>
      <c r="C19" s="42"/>
      <c r="D19" s="42"/>
      <c r="E19" s="42"/>
      <c r="F19" s="43"/>
      <c r="G19" s="1"/>
    </row>
    <row r="20" spans="1:7" ht="15" customHeight="1" x14ac:dyDescent="0.25">
      <c r="A20" s="1"/>
      <c r="B20" s="29" t="s">
        <v>113</v>
      </c>
      <c r="C20" s="17">
        <f>'Fane 2.1. Økonomisk ramme 2019'!C28*(1+Prisudvikling2019)</f>
        <v>19275844.557847653</v>
      </c>
      <c r="D20" s="18" t="s">
        <v>3</v>
      </c>
      <c r="E20" s="17">
        <f>C20</f>
        <v>19275844.557847653</v>
      </c>
      <c r="F20" s="18" t="s">
        <v>3</v>
      </c>
      <c r="G20" s="1"/>
    </row>
    <row r="21" spans="1:7" x14ac:dyDescent="0.25">
      <c r="A21" s="1"/>
      <c r="B21" s="41" t="s">
        <v>60</v>
      </c>
      <c r="C21" s="42"/>
      <c r="D21" s="43"/>
      <c r="E21" s="20">
        <f>SUM(E14,E16,E18,E20:E20)</f>
        <v>254716725.65970805</v>
      </c>
      <c r="F21" s="2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1406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114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49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61</v>
      </c>
      <c r="C8" s="7">
        <f>'Fane 2.2. Økonomisk ramme 2020'!E14</f>
        <v>151655012.44161204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2562969.7102632429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-1983865.1272043176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2.2. Økonomisk ramme 2020'!C12/GenereltKravDrift-'Fane 2.2. Økonomisk ramme 2020'!C12)*(1+Prisudvikling2019)*GenereltKravDrift</f>
        <v>-1051025.0840432961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2.2. Økonomisk ramme 2020'!C13/GenereltKravAnlæg-'Fane 2.2. Økonomisk ramme 2020'!C13)*(1+Prisudvikling2019)*GenereltKravAnlæg</f>
        <v>-978029.33606987458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150205062.60455778</v>
      </c>
      <c r="D13" s="18" t="s">
        <v>3</v>
      </c>
      <c r="E13" s="17">
        <f>C13</f>
        <v>150205062.60455778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omk.'!E15*(1+Prisudvikling2019)^2</f>
        <v>81248764.474956572</v>
      </c>
      <c r="D15" s="18" t="s">
        <v>3</v>
      </c>
      <c r="E15" s="17">
        <f>C15</f>
        <v>81248764.474956572</v>
      </c>
      <c r="F15" s="18" t="s">
        <v>3</v>
      </c>
      <c r="G15" s="1"/>
    </row>
    <row r="16" spans="1:7" x14ac:dyDescent="0.25">
      <c r="A16" s="1"/>
      <c r="B16" s="41" t="s">
        <v>82</v>
      </c>
      <c r="C16" s="42"/>
      <c r="D16" s="43"/>
      <c r="E16" s="20">
        <f>SUM(E13,E15)</f>
        <v>231453827.07951435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115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49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67</v>
      </c>
      <c r="C8" s="7">
        <f>'Fane 2.3. Økonomisk ramme 2021'!E13</f>
        <v>150205062.60455778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2538465.5580170262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-1964897.7032358218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2.3. Økonomisk ramme 2021'!C11/GenereltKravDrift-'Fane 2.3. Økonomisk ramme 2021'!C11)*(1+Prisudvikling2019)*GenereltKravDrift</f>
        <v>-1047411.6598043551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2.3. Økonomisk ramme 2021'!C12/GenereltKravAnlæg-'Fane 2.3. Økonomisk ramme 2021'!C12)*(1+Prisudvikling2019)*GenereltKravAnlæg</f>
        <v>-985905.37697236508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148745313.42256224</v>
      </c>
      <c r="D13" s="18" t="s">
        <v>3</v>
      </c>
      <c r="E13" s="17">
        <f>C13</f>
        <v>148745313.42256224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omk.'!E15*(1+Prisudvikling2019)^3</f>
        <v>82621868.594583333</v>
      </c>
      <c r="D15" s="18" t="s">
        <v>3</v>
      </c>
      <c r="E15" s="17">
        <f>C15</f>
        <v>82621868.594583333</v>
      </c>
      <c r="F15" s="18" t="s">
        <v>3</v>
      </c>
      <c r="G15" s="1"/>
    </row>
    <row r="16" spans="1:7" x14ac:dyDescent="0.25">
      <c r="A16" s="1"/>
      <c r="B16" s="41" t="s">
        <v>83</v>
      </c>
      <c r="C16" s="42"/>
      <c r="D16" s="43"/>
      <c r="E16" s="20">
        <f>SUM(E13,E15)</f>
        <v>231367182.01714557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28515625" style="2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116</v>
      </c>
      <c r="C3" s="88"/>
      <c r="D3" s="88"/>
      <c r="E3" s="88"/>
      <c r="F3" s="88"/>
      <c r="G3" s="88"/>
      <c r="H3" s="88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1" t="s">
        <v>56</v>
      </c>
      <c r="C8" s="42"/>
      <c r="D8" s="42"/>
      <c r="E8" s="42"/>
      <c r="F8" s="42"/>
      <c r="G8" s="42"/>
      <c r="H8" s="43"/>
      <c r="I8" s="1"/>
    </row>
    <row r="9" spans="1:9" x14ac:dyDescent="0.25">
      <c r="A9" s="1"/>
      <c r="B9" s="47" t="s">
        <v>35</v>
      </c>
      <c r="C9" s="48"/>
      <c r="D9" s="48"/>
      <c r="E9" s="48"/>
      <c r="F9" s="49"/>
      <c r="G9" s="11">
        <v>229584599.67120466</v>
      </c>
      <c r="H9" s="22" t="s">
        <v>3</v>
      </c>
      <c r="I9" s="1"/>
    </row>
    <row r="10" spans="1:9" x14ac:dyDescent="0.25">
      <c r="A10" s="1"/>
      <c r="B10" s="50" t="s">
        <v>55</v>
      </c>
      <c r="C10" s="48"/>
      <c r="D10" s="48"/>
      <c r="E10" s="48"/>
      <c r="F10" s="49"/>
      <c r="G10" s="11">
        <v>77333813.269660801</v>
      </c>
      <c r="H10" s="22" t="s">
        <v>3</v>
      </c>
      <c r="I10" s="1"/>
    </row>
    <row r="11" spans="1:9" ht="15" customHeight="1" x14ac:dyDescent="0.25">
      <c r="A11" s="1"/>
      <c r="B11" s="41" t="s">
        <v>56</v>
      </c>
      <c r="C11" s="51"/>
      <c r="D11" s="51"/>
      <c r="E11" s="51"/>
      <c r="F11" s="52"/>
      <c r="G11" s="33">
        <f>G9-G10</f>
        <v>152250786.40154386</v>
      </c>
      <c r="H11" s="34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4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24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1"/>
      <c r="D15" s="1"/>
      <c r="E15" s="1"/>
      <c r="F15" s="1"/>
      <c r="G15" s="23"/>
      <c r="H15" s="1"/>
      <c r="I15" s="1"/>
    </row>
    <row r="16" spans="1:9" x14ac:dyDescent="0.25">
      <c r="A16" s="1"/>
      <c r="B16" s="24"/>
      <c r="C16" s="1"/>
      <c r="D16" s="1"/>
      <c r="E16" s="1"/>
      <c r="F16" s="1"/>
      <c r="G16" s="23"/>
      <c r="H16" s="1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10.5703125" style="2" customWidth="1"/>
    <col min="2" max="2" width="7.7109375" style="2" customWidth="1"/>
    <col min="3" max="3" width="17.7109375" style="2" customWidth="1"/>
    <col min="4" max="4" width="15.140625" style="2" customWidth="1"/>
    <col min="5" max="5" width="7.85546875" style="2" customWidth="1"/>
    <col min="6" max="6" width="12.28515625" style="2" customWidth="1"/>
    <col min="7" max="7" width="4" style="2" customWidth="1"/>
    <col min="8" max="8" width="5.140625" style="2" customWidth="1"/>
    <col min="9" max="9" width="6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133</v>
      </c>
      <c r="C3" s="88"/>
      <c r="D3" s="88"/>
      <c r="E3" s="88"/>
      <c r="F3" s="88"/>
      <c r="G3" s="88"/>
      <c r="H3" s="1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62</v>
      </c>
      <c r="C8" s="94"/>
      <c r="D8" s="94"/>
      <c r="E8" s="94"/>
      <c r="F8" s="94"/>
      <c r="G8" s="95"/>
      <c r="H8" s="1"/>
      <c r="I8" s="1"/>
    </row>
    <row r="9" spans="1:9" x14ac:dyDescent="0.25">
      <c r="A9" s="1"/>
      <c r="B9" s="90" t="s">
        <v>63</v>
      </c>
      <c r="C9" s="91"/>
      <c r="D9" s="91"/>
      <c r="E9" s="92"/>
      <c r="F9" s="11">
        <v>53501163.982203498</v>
      </c>
      <c r="G9" s="22" t="s">
        <v>3</v>
      </c>
      <c r="H9" s="1"/>
      <c r="I9" s="1"/>
    </row>
    <row r="10" spans="1:9" x14ac:dyDescent="0.25">
      <c r="A10" s="1"/>
      <c r="B10" s="90" t="s">
        <v>64</v>
      </c>
      <c r="C10" s="91"/>
      <c r="D10" s="91"/>
      <c r="E10" s="92"/>
      <c r="F10" s="11">
        <v>107119430.78324479</v>
      </c>
      <c r="G10" s="22" t="s">
        <v>3</v>
      </c>
      <c r="H10" s="1"/>
      <c r="I10" s="1"/>
    </row>
    <row r="11" spans="1:9" x14ac:dyDescent="0.25">
      <c r="A11" s="1"/>
      <c r="B11" s="41"/>
      <c r="C11" s="42"/>
      <c r="D11" s="42"/>
      <c r="E11" s="42"/>
      <c r="F11" s="42"/>
      <c r="G11" s="43"/>
      <c r="H11" s="1"/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1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1"/>
      <c r="I13" s="1"/>
    </row>
    <row r="14" spans="1:9" x14ac:dyDescent="0.25">
      <c r="A14" s="1"/>
      <c r="B14" s="93" t="s">
        <v>69</v>
      </c>
      <c r="C14" s="94"/>
      <c r="D14" s="94"/>
      <c r="E14" s="94"/>
      <c r="F14" s="94"/>
      <c r="G14" s="95"/>
      <c r="H14" s="1"/>
      <c r="I14" s="1"/>
    </row>
    <row r="15" spans="1:9" x14ac:dyDescent="0.25">
      <c r="A15" s="1"/>
      <c r="B15" s="90" t="s">
        <v>37</v>
      </c>
      <c r="C15" s="91"/>
      <c r="D15" s="91"/>
      <c r="E15" s="92"/>
      <c r="F15" s="11">
        <v>53501163.982203498</v>
      </c>
      <c r="G15" s="22" t="s">
        <v>3</v>
      </c>
      <c r="H15" s="1"/>
      <c r="I15" s="1"/>
    </row>
    <row r="16" spans="1:9" x14ac:dyDescent="0.25">
      <c r="A16" s="1"/>
      <c r="B16" s="90" t="s">
        <v>38</v>
      </c>
      <c r="C16" s="91"/>
      <c r="D16" s="91"/>
      <c r="E16" s="92"/>
      <c r="F16" s="11">
        <v>107336018.3115422</v>
      </c>
      <c r="G16" s="22" t="s">
        <v>3</v>
      </c>
      <c r="H16" s="1"/>
      <c r="I16" s="1"/>
    </row>
    <row r="17" spans="1:9" x14ac:dyDescent="0.25">
      <c r="A17" s="1"/>
      <c r="B17" s="41"/>
      <c r="C17" s="42"/>
      <c r="D17" s="42"/>
      <c r="E17" s="42"/>
      <c r="F17" s="42"/>
      <c r="G17" s="43"/>
      <c r="H17" s="1"/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1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1"/>
      <c r="I19" s="1"/>
    </row>
    <row r="20" spans="1:9" x14ac:dyDescent="0.25">
      <c r="A20" s="1"/>
      <c r="B20" s="93" t="s">
        <v>29</v>
      </c>
      <c r="C20" s="94"/>
      <c r="D20" s="94"/>
      <c r="E20" s="94"/>
      <c r="F20" s="94"/>
      <c r="G20" s="95"/>
      <c r="H20" s="1"/>
      <c r="I20" s="1"/>
    </row>
    <row r="21" spans="1:9" ht="15" customHeight="1" x14ac:dyDescent="0.25">
      <c r="A21" s="1"/>
      <c r="B21" s="29"/>
      <c r="C21" s="36"/>
      <c r="D21" s="46" t="s">
        <v>74</v>
      </c>
      <c r="E21" s="36"/>
      <c r="F21" s="46" t="s">
        <v>75</v>
      </c>
      <c r="G21" s="36"/>
      <c r="H21" s="1"/>
      <c r="I21" s="1"/>
    </row>
    <row r="22" spans="1:9" x14ac:dyDescent="0.25">
      <c r="A22" s="1"/>
      <c r="B22" s="96" t="s">
        <v>65</v>
      </c>
      <c r="C22" s="97"/>
      <c r="D22" s="53">
        <f>F15-F9</f>
        <v>0</v>
      </c>
      <c r="E22" s="22" t="s">
        <v>3</v>
      </c>
      <c r="F22" s="11">
        <f>D22*(1+Prisudvikling2019)</f>
        <v>0</v>
      </c>
      <c r="G22" s="22" t="s">
        <v>3</v>
      </c>
      <c r="H22" s="1"/>
      <c r="I22" s="1"/>
    </row>
    <row r="23" spans="1:9" ht="15" customHeight="1" x14ac:dyDescent="0.25">
      <c r="A23" s="1"/>
      <c r="B23" s="96" t="s">
        <v>66</v>
      </c>
      <c r="C23" s="97"/>
      <c r="D23" s="53">
        <f>F16-F10</f>
        <v>216587.52829740942</v>
      </c>
      <c r="E23" s="22" t="s">
        <v>3</v>
      </c>
      <c r="F23" s="11">
        <f>D23*(1+Prisudvikling2019)</f>
        <v>220247.85752563563</v>
      </c>
      <c r="G23" s="22" t="s">
        <v>3</v>
      </c>
      <c r="H23" s="1"/>
      <c r="I23" s="1"/>
    </row>
    <row r="24" spans="1:9" x14ac:dyDescent="0.25">
      <c r="A24" s="1"/>
      <c r="B24" s="41"/>
      <c r="C24" s="42"/>
      <c r="D24" s="42"/>
      <c r="E24" s="42"/>
      <c r="F24" s="42"/>
      <c r="G24" s="43"/>
      <c r="H24" s="1"/>
      <c r="I24" s="1"/>
    </row>
    <row r="25" spans="1:9" x14ac:dyDescent="0.25">
      <c r="A25" s="1"/>
      <c r="B25" s="1"/>
      <c r="C25" s="1"/>
      <c r="D25" s="1"/>
      <c r="E25" s="1"/>
      <c r="F25" s="23"/>
      <c r="G25" s="23"/>
      <c r="H25" s="1"/>
      <c r="I25" s="1"/>
    </row>
    <row r="26" spans="1:9" ht="26.25" customHeight="1" x14ac:dyDescent="0.25">
      <c r="A26" s="1"/>
      <c r="B26" s="89" t="s">
        <v>97</v>
      </c>
      <c r="C26" s="89"/>
      <c r="D26" s="89"/>
      <c r="E26" s="89"/>
      <c r="F26" s="89"/>
      <c r="G26" s="89"/>
      <c r="H26" s="1"/>
      <c r="I26" s="1"/>
    </row>
    <row r="27" spans="1:9" ht="27.75" customHeight="1" x14ac:dyDescent="0.25">
      <c r="A27" s="1"/>
      <c r="B27" s="89" t="s">
        <v>139</v>
      </c>
      <c r="C27" s="89"/>
      <c r="D27" s="89"/>
      <c r="E27" s="89"/>
      <c r="F27" s="89"/>
      <c r="G27" s="89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password="DFE9" sheet="1" objects="1" scenarios="1"/>
  <mergeCells count="12">
    <mergeCell ref="B3:G4"/>
    <mergeCell ref="B26:G26"/>
    <mergeCell ref="B27:G27"/>
    <mergeCell ref="B9:E9"/>
    <mergeCell ref="B10:E10"/>
    <mergeCell ref="B14:G14"/>
    <mergeCell ref="B8:G8"/>
    <mergeCell ref="B15:E15"/>
    <mergeCell ref="B16:E16"/>
    <mergeCell ref="B20:G20"/>
    <mergeCell ref="B22:C22"/>
    <mergeCell ref="B23:C2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0" style="2" hidden="1" customWidth="1"/>
    <col min="4" max="4" width="28.5703125" style="2" hidden="1" customWidth="1"/>
    <col min="5" max="5" width="24.85546875" style="2" customWidth="1"/>
    <col min="6" max="6" width="3.28515625" style="2" customWidth="1"/>
    <col min="7" max="7" width="7.85546875" style="2" customWidth="1"/>
    <col min="8" max="8" width="4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134</v>
      </c>
      <c r="C3" s="86"/>
      <c r="D3" s="86"/>
      <c r="E3" s="86"/>
      <c r="F3" s="86"/>
      <c r="G3" s="1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68</v>
      </c>
      <c r="C8" s="94"/>
      <c r="D8" s="94"/>
      <c r="E8" s="94"/>
      <c r="F8" s="95"/>
      <c r="G8" s="1"/>
      <c r="H8" s="1"/>
    </row>
    <row r="9" spans="1:8" ht="15" customHeight="1" x14ac:dyDescent="0.25">
      <c r="A9" s="1"/>
      <c r="B9" s="46" t="s">
        <v>96</v>
      </c>
      <c r="C9" s="30"/>
      <c r="D9" s="36"/>
      <c r="E9" s="18" t="s">
        <v>54</v>
      </c>
      <c r="F9" s="18"/>
      <c r="G9" s="1"/>
      <c r="H9" s="1"/>
    </row>
    <row r="10" spans="1:8" x14ac:dyDescent="0.25">
      <c r="A10" s="1"/>
      <c r="B10" s="44" t="s">
        <v>158</v>
      </c>
      <c r="C10" s="48"/>
      <c r="D10" s="49"/>
      <c r="E10" s="11">
        <v>75450672</v>
      </c>
      <c r="F10" s="22" t="s">
        <v>3</v>
      </c>
      <c r="G10" s="1"/>
      <c r="H10" s="1"/>
    </row>
    <row r="11" spans="1:8" x14ac:dyDescent="0.25">
      <c r="A11" s="1"/>
      <c r="B11" s="44" t="s">
        <v>150</v>
      </c>
      <c r="C11" s="48"/>
      <c r="D11" s="49"/>
      <c r="E11" s="11">
        <v>174734</v>
      </c>
      <c r="F11" s="22" t="s">
        <v>3</v>
      </c>
      <c r="G11" s="1"/>
      <c r="H11" s="1"/>
    </row>
    <row r="12" spans="1:8" x14ac:dyDescent="0.25">
      <c r="A12" s="1"/>
      <c r="B12" s="44" t="s">
        <v>151</v>
      </c>
      <c r="C12" s="48"/>
      <c r="D12" s="49"/>
      <c r="E12" s="11">
        <v>277379</v>
      </c>
      <c r="F12" s="22" t="s">
        <v>3</v>
      </c>
      <c r="G12" s="1"/>
      <c r="H12" s="1"/>
    </row>
    <row r="13" spans="1:8" x14ac:dyDescent="0.25">
      <c r="A13" s="1"/>
      <c r="B13" s="44" t="s">
        <v>152</v>
      </c>
      <c r="C13" s="48"/>
      <c r="D13" s="49"/>
      <c r="E13" s="11">
        <v>78000</v>
      </c>
      <c r="F13" s="22" t="s">
        <v>3</v>
      </c>
      <c r="G13" s="1"/>
      <c r="H13" s="1"/>
    </row>
    <row r="14" spans="1:8" x14ac:dyDescent="0.25">
      <c r="A14" s="1"/>
      <c r="B14" s="41" t="s">
        <v>140</v>
      </c>
      <c r="C14" s="42"/>
      <c r="D14" s="43"/>
      <c r="E14" s="20">
        <f>SUM(E10:E13)</f>
        <v>75980785</v>
      </c>
      <c r="F14" s="21" t="s">
        <v>3</v>
      </c>
      <c r="G14" s="1"/>
      <c r="H14" s="1"/>
    </row>
    <row r="15" spans="1:8" x14ac:dyDescent="0.25">
      <c r="A15" s="1"/>
      <c r="B15" s="41" t="s">
        <v>141</v>
      </c>
      <c r="C15" s="42"/>
      <c r="D15" s="43"/>
      <c r="E15" s="20">
        <f>E14*(1+Prisudvikling2019)^2</f>
        <v>78570636.405003831</v>
      </c>
      <c r="F15" s="21" t="s">
        <v>3</v>
      </c>
      <c r="G15" s="1"/>
      <c r="H15" s="1"/>
    </row>
    <row r="16" spans="1:8" x14ac:dyDescent="0.25">
      <c r="A16" s="1"/>
      <c r="B16" s="24"/>
      <c r="C16" s="23"/>
      <c r="D16" s="23"/>
      <c r="E16" s="23"/>
      <c r="F16" s="23"/>
      <c r="G16" s="1"/>
      <c r="H16" s="1"/>
    </row>
    <row r="17" spans="1:8" x14ac:dyDescent="0.25">
      <c r="A17" s="1"/>
      <c r="B17" s="23"/>
      <c r="C17" s="23"/>
      <c r="D17" s="23"/>
      <c r="E17" s="23"/>
      <c r="F17" s="23"/>
      <c r="G17" s="1"/>
      <c r="H17" s="1"/>
    </row>
    <row r="18" spans="1:8" x14ac:dyDescent="0.25">
      <c r="A18" s="1"/>
      <c r="B18" s="1"/>
      <c r="C18" s="1"/>
      <c r="D18" s="1"/>
      <c r="E18" s="23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</sheetData>
  <sheetProtection password="DFE9" sheet="1" objects="1" scenarios="1"/>
  <mergeCells count="2">
    <mergeCell ref="B3:F4"/>
    <mergeCell ref="B8:F8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117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14</v>
      </c>
      <c r="C9" s="91"/>
      <c r="D9" s="91"/>
      <c r="E9" s="91"/>
      <c r="F9" s="92"/>
      <c r="G9" s="54">
        <v>1.286403245278225E-2</v>
      </c>
      <c r="H9" s="22"/>
      <c r="I9" s="1"/>
    </row>
    <row r="10" spans="1:9" x14ac:dyDescent="0.25">
      <c r="A10" s="1"/>
      <c r="B10" s="41"/>
      <c r="C10" s="42"/>
      <c r="D10" s="42"/>
      <c r="E10" s="42"/>
      <c r="F10" s="42"/>
      <c r="G10" s="42"/>
      <c r="H10" s="43"/>
      <c r="I10" s="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ht="30.75" customHeight="1" x14ac:dyDescent="0.25">
      <c r="A12" s="35"/>
      <c r="B12" s="98" t="s">
        <v>80</v>
      </c>
      <c r="C12" s="98"/>
      <c r="D12" s="98"/>
      <c r="E12" s="98"/>
      <c r="F12" s="98"/>
      <c r="G12" s="98"/>
      <c r="H12" s="98"/>
      <c r="I12" s="35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4">
    <mergeCell ref="B3:H4"/>
    <mergeCell ref="B12:H12"/>
    <mergeCell ref="B9:F9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16</vt:i4>
      </vt:variant>
      <vt:variant>
        <vt:lpstr>Navngivne områder</vt:lpstr>
      </vt:variant>
      <vt:variant>
        <vt:i4>5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Individuelt eff. krav</vt:lpstr>
      <vt:lpstr>Fane 7. Generelt eff. krav</vt:lpstr>
      <vt:lpstr>Fane 8. Hist. over el. underdæk</vt:lpstr>
      <vt:lpstr>Fane 9. Kontrol af ØR2017</vt:lpstr>
      <vt:lpstr>Fane 10. Anlægsprojekter</vt:lpstr>
      <vt:lpstr>Fane 11. Tillæg</vt:lpstr>
      <vt:lpstr>Fane 12. Bortfald</vt:lpstr>
      <vt:lpstr>Fane 13. Nøgletal</vt:lpstr>
      <vt:lpstr>GenereltKravAnlæg</vt:lpstr>
      <vt:lpstr>GenereltKravDrift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2018-10-02T07:51:01Z</dcterms:modified>
</cp:coreProperties>
</file>