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7675" yWindow="60" windowWidth="20730" windowHeight="11565" tabRatio="856" activeTab="1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17" i="7" l="1"/>
  <c r="G16" i="7"/>
  <c r="G15" i="7"/>
  <c r="G22" i="7" l="1"/>
  <c r="G21" i="7"/>
  <c r="G23" i="7"/>
  <c r="G18" i="7"/>
  <c r="G24" i="7" s="1"/>
  <c r="G12" i="7"/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0" i="11"/>
  <c r="F12" i="11" s="1"/>
  <c r="G29" i="12" s="1"/>
  <c r="G13" i="10"/>
  <c r="E14" i="2" s="1"/>
  <c r="G14" i="2" s="1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 s="1"/>
  <c r="E11" i="4"/>
  <c r="E13" i="4" l="1"/>
  <c r="G13" i="4" s="1"/>
  <c r="G16" i="4" s="1"/>
  <c r="E12" i="5"/>
  <c r="E9" i="6" s="1"/>
  <c r="E11" i="5"/>
  <c r="E13" i="5" l="1"/>
  <c r="G13" i="5" s="1"/>
  <c r="G16" i="5" s="1"/>
  <c r="E12" i="6"/>
  <c r="E11" i="6"/>
  <c r="E13" i="6" l="1"/>
  <c r="G13" i="6" s="1"/>
  <c r="G16" i="6" s="1"/>
</calcChain>
</file>

<file path=xl/sharedStrings.xml><?xml version="1.0" encoding="utf-8"?>
<sst xmlns="http://schemas.openxmlformats.org/spreadsheetml/2006/main" count="265" uniqueCount="124">
  <si>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</si>
  <si>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</si>
  <si>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</si>
  <si>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</si>
  <si>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</si>
  <si>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</si>
  <si>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</si>
  <si>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</si>
  <si>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</si>
  <si>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</si>
  <si>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</si>
  <si>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</si>
  <si>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</si>
  <si>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</si>
  <si>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</si>
  <si>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</si>
  <si>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</si>
  <si>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</si>
  <si>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</si>
  <si>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</si>
  <si>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</si>
  <si>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</si>
  <si>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</si>
  <si>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</si>
  <si>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</si>
  <si>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</si>
  <si>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</si>
  <si>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</si>
  <si>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</si>
  <si>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</si>
  <si>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</si>
  <si>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</si>
  <si>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</si>
  <si>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</si>
  <si>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</si>
  <si>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</si>
  <si>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</si>
  <si>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</si>
  <si>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</si>
  <si>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</si>
  <si>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</si>
  <si>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</si>
  <si>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</si>
  <si>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</si>
  <si>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</si>
  <si>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</si>
  <si>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</si>
  <si>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</si>
  <si>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</si>
  <si>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</si>
  <si>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</si>
  <si>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</si>
  <si>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</si>
  <si>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</si>
  <si>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</si>
  <si>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</si>
  <si>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</si>
  <si>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</si>
  <si>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</si>
  <si>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</si>
  <si>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</si>
  <si>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</si>
  <si>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</si>
  <si>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</si>
  <si>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</si>
  <si>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</si>
  <si>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</si>
  <si>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</si>
  <si>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</si>
  <si>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</si>
  <si>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</si>
  <si>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</si>
  <si>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</si>
  <si>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</si>
  <si>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</si>
  <si>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</si>
  <si>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</si>
  <si>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</si>
  <si>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</si>
  <si>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</si>
  <si>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</si>
  <si>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</si>
  <si>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</si>
  <si>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</si>
  <si>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</si>
  <si>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</si>
  <si>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</si>
  <si>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</si>
  <si>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</si>
  <si>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</si>
  <si>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</si>
  <si>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</si>
  <si>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</si>
  <si>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</si>
  <si>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</si>
  <si>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</si>
  <si>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</si>
  <si>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</si>
  <si>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</si>
  <si>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</si>
  <si>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</si>
  <si>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</si>
  <si>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</si>
  <si>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</si>
  <si>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</si>
  <si>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</si>
  <si>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</si>
  <si>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</si>
  <si>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</si>
  <si>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Skelbrønd, Konstruktioner</t>
  </si>
  <si>
    <t xml:space="preserve">Afregningsmålere, mekaniske 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</si>
  <si>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</si>
  <si>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</si>
  <si>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</si>
  <si>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</si>
  <si>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</si>
  <si>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</si>
  <si>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</si>
  <si>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</si>
  <si>
    <t xml:space="preserve">Vandforsyningen Østlolland a.m.b.a.  </t>
  </si>
  <si>
    <t xml:space="preserve">Grundlag efter fusion </t>
  </si>
  <si>
    <t>Beregningen af de enkelte komponenter i grundlaget for Vandforsyning Østlolland a.m.b.a. fremgår af bilag B.</t>
  </si>
  <si>
    <t>Majbølle Vandværk</t>
  </si>
  <si>
    <t>Beregningen af de enkelte komponenter i grundlaget for Majbølle Vandværk fremgår af bilag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</si>
</sst>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4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4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view="pageLayout" zoomScaleNormal="100" workbookViewId="0">
      <selection activeCell="D13" sqref="D13:G13"/>
    </sheetView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108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1337206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1281314</v>
      </c>
      <c r="H10" s="10" t="s">
        <v>4</v>
      </c>
      <c r="I10" s="1"/>
    </row>
    <row r="11" spans="1:9" x14ac:dyDescent="0.25">
      <c r="A11" s="1"/>
      <c r="B11" s="73" t="s">
        <v>83</v>
      </c>
      <c r="C11" s="74"/>
      <c r="D11" s="74"/>
      <c r="E11" s="74"/>
      <c r="F11" s="75"/>
      <c r="G11" s="34">
        <f>G9-G10</f>
        <v>55892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188355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245000</v>
      </c>
      <c r="H16" s="10" t="s">
        <v>4</v>
      </c>
      <c r="I16" s="1"/>
    </row>
    <row r="17" spans="1:9" x14ac:dyDescent="0.25">
      <c r="A17" s="1"/>
      <c r="B17" s="73" t="s">
        <v>87</v>
      </c>
      <c r="C17" s="74"/>
      <c r="D17" s="74"/>
      <c r="E17" s="74"/>
      <c r="F17" s="75"/>
      <c r="G17" s="34">
        <f>G15-G16</f>
        <v>-56645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0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0</v>
      </c>
      <c r="H22" s="10" t="s">
        <v>4</v>
      </c>
      <c r="I22" s="1"/>
    </row>
    <row r="23" spans="1:9" x14ac:dyDescent="0.25">
      <c r="A23" s="1"/>
      <c r="B23" s="73" t="s">
        <v>96</v>
      </c>
      <c r="C23" s="74"/>
      <c r="D23" s="74"/>
      <c r="E23" s="74"/>
      <c r="F23" s="75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21250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21250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2015'!F12</f>
        <v>35568.035000000003</v>
      </c>
      <c r="H29" s="10" t="s">
        <v>4</v>
      </c>
      <c r="I29" s="1"/>
    </row>
    <row r="30" spans="1:9" x14ac:dyDescent="0.25">
      <c r="A30" s="1"/>
      <c r="B30" s="73" t="s">
        <v>88</v>
      </c>
      <c r="C30" s="74"/>
      <c r="D30" s="74"/>
      <c r="E30" s="74"/>
      <c r="F30" s="75"/>
      <c r="G30" s="34">
        <f>G29-G27+G29-G28</f>
        <v>28636.070000000007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117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49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4684945</v>
      </c>
      <c r="H9" s="16" t="s">
        <v>4</v>
      </c>
      <c r="I9" s="1"/>
    </row>
    <row r="10" spans="1:9" x14ac:dyDescent="0.25">
      <c r="A10" s="1"/>
      <c r="B10" s="73" t="s">
        <v>52</v>
      </c>
      <c r="C10" s="74"/>
      <c r="D10" s="74"/>
      <c r="E10" s="74"/>
      <c r="F10" s="74"/>
      <c r="G10" s="74"/>
      <c r="H10" s="75"/>
      <c r="I10" s="1"/>
    </row>
    <row r="11" spans="1:9" x14ac:dyDescent="0.25">
      <c r="A11" s="1"/>
      <c r="B11" s="77" t="s">
        <v>53</v>
      </c>
      <c r="C11" s="78"/>
      <c r="D11" s="79"/>
      <c r="E11" s="36">
        <v>2106821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201456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21617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42500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2372394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125991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125991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-750832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-1467082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-2217914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280471</v>
      </c>
      <c r="F28" s="16" t="s">
        <v>4</v>
      </c>
      <c r="G28" s="31">
        <f>IF(E28&lt;0,0,-E28)</f>
        <v>-280471</v>
      </c>
      <c r="H28" s="16" t="s">
        <v>4</v>
      </c>
      <c r="I28" s="1"/>
    </row>
    <row r="29" spans="1:9" x14ac:dyDescent="0.25">
      <c r="A29" s="1"/>
      <c r="B29" s="73" t="s">
        <v>71</v>
      </c>
      <c r="C29" s="74"/>
      <c r="D29" s="74"/>
      <c r="E29" s="74"/>
      <c r="F29" s="74"/>
      <c r="G29" s="74"/>
      <c r="H29" s="75"/>
      <c r="I29" s="1"/>
    </row>
    <row r="30" spans="1:9" x14ac:dyDescent="0.25">
      <c r="A30" s="1"/>
      <c r="B30" s="81" t="s">
        <v>71</v>
      </c>
      <c r="C30" s="82"/>
      <c r="D30" s="83"/>
      <c r="E30" s="37">
        <v>0</v>
      </c>
      <c r="F30" s="16" t="s">
        <v>4</v>
      </c>
      <c r="G30" s="33">
        <f>-$E$30</f>
        <v>0</v>
      </c>
      <c r="H30" s="16" t="s">
        <v>4</v>
      </c>
      <c r="I30" s="1"/>
    </row>
    <row r="31" spans="1:9" x14ac:dyDescent="0.25">
      <c r="A31" s="1"/>
      <c r="B31" s="92" t="s">
        <v>111</v>
      </c>
      <c r="C31" s="74"/>
      <c r="D31" s="74"/>
      <c r="E31" s="74"/>
      <c r="F31" s="74"/>
      <c r="G31" s="74"/>
      <c r="H31" s="75"/>
      <c r="I31" s="1"/>
    </row>
    <row r="32" spans="1:9" ht="30" customHeight="1" x14ac:dyDescent="0.25">
      <c r="A32" s="1"/>
      <c r="B32" s="67" t="s">
        <v>112</v>
      </c>
      <c r="C32" s="68"/>
      <c r="D32" s="69"/>
      <c r="E32" s="36">
        <v>4710038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4710038</v>
      </c>
      <c r="F35" s="16" t="s">
        <v>4</v>
      </c>
      <c r="G35" s="33">
        <f>-E35</f>
        <v>-4710038</v>
      </c>
      <c r="H35" s="16" t="s">
        <v>4</v>
      </c>
      <c r="I35" s="1"/>
    </row>
    <row r="36" spans="1:9" x14ac:dyDescent="0.25">
      <c r="A36" s="1"/>
      <c r="B36" s="73" t="s">
        <v>50</v>
      </c>
      <c r="C36" s="74"/>
      <c r="D36" s="74"/>
      <c r="E36" s="74"/>
      <c r="F36" s="75"/>
      <c r="G36" s="34">
        <f>$G$9+$G$28+$G$30+$G$35</f>
        <v>-305564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tabSelected="1"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106</v>
      </c>
      <c r="C8" s="74"/>
      <c r="D8" s="74"/>
      <c r="E8" s="74"/>
      <c r="F8" s="74"/>
      <c r="G8" s="74"/>
      <c r="H8" s="75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Grundlag'!G24</f>
        <v>6163580.3539607506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Grundlag'!G23</f>
        <v>1540103.98661834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78599.098244820983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6084981.2557159299</v>
      </c>
      <c r="F12" s="17" t="s">
        <v>4</v>
      </c>
      <c r="G12" s="33">
        <f>E12</f>
        <v>6084981.2557159299</v>
      </c>
      <c r="H12" s="17" t="s">
        <v>4</v>
      </c>
      <c r="I12" s="1"/>
    </row>
    <row r="13" spans="1:9" x14ac:dyDescent="0.25">
      <c r="A13" s="1"/>
      <c r="B13" s="73" t="s">
        <v>32</v>
      </c>
      <c r="C13" s="74"/>
      <c r="D13" s="74"/>
      <c r="E13" s="74"/>
      <c r="F13" s="74"/>
      <c r="G13" s="74"/>
      <c r="H13" s="75"/>
      <c r="I13" s="1"/>
    </row>
    <row r="14" spans="1:9" x14ac:dyDescent="0.25">
      <c r="A14" s="1"/>
      <c r="B14" s="70" t="s">
        <v>105</v>
      </c>
      <c r="C14" s="71"/>
      <c r="D14" s="72"/>
      <c r="E14" s="33">
        <f>'Fane 5. Hist. over el. underdæk'!G13</f>
        <v>-205852.5</v>
      </c>
      <c r="F14" s="17" t="s">
        <v>4</v>
      </c>
      <c r="G14" s="33">
        <f>E14</f>
        <v>-205852.5</v>
      </c>
      <c r="H14" s="17" t="s">
        <v>4</v>
      </c>
      <c r="I14" s="1"/>
    </row>
    <row r="15" spans="1:9" x14ac:dyDescent="0.25">
      <c r="A15" s="1"/>
      <c r="B15" s="73" t="s">
        <v>29</v>
      </c>
      <c r="C15" s="74"/>
      <c r="D15" s="74"/>
      <c r="E15" s="74"/>
      <c r="F15" s="74"/>
      <c r="G15" s="74"/>
      <c r="H15" s="75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55892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-56645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28636.070000000007</v>
      </c>
      <c r="F19" s="7" t="s">
        <v>4</v>
      </c>
      <c r="G19" s="14"/>
      <c r="H19" s="15"/>
      <c r="I19" s="1"/>
    </row>
    <row r="20" spans="1:9" x14ac:dyDescent="0.25">
      <c r="A20" s="1"/>
      <c r="B20" s="70" t="s">
        <v>38</v>
      </c>
      <c r="C20" s="71"/>
      <c r="D20" s="72"/>
      <c r="E20" s="33">
        <f>SUM(E16:E19)</f>
        <v>27883.070000000007</v>
      </c>
      <c r="F20" s="17" t="s">
        <v>4</v>
      </c>
      <c r="G20" s="33">
        <f>E20</f>
        <v>27883.070000000007</v>
      </c>
      <c r="H20" s="17" t="s">
        <v>4</v>
      </c>
      <c r="I20" s="1"/>
    </row>
    <row r="21" spans="1:9" x14ac:dyDescent="0.25">
      <c r="A21" s="1"/>
      <c r="B21" s="73" t="s">
        <v>33</v>
      </c>
      <c r="C21" s="74"/>
      <c r="D21" s="74"/>
      <c r="E21" s="74"/>
      <c r="F21" s="74"/>
      <c r="G21" s="74"/>
      <c r="H21" s="75"/>
      <c r="I21" s="1"/>
    </row>
    <row r="22" spans="1:9" x14ac:dyDescent="0.25">
      <c r="A22" s="1"/>
      <c r="B22" s="70" t="s">
        <v>34</v>
      </c>
      <c r="C22" s="71"/>
      <c r="D22" s="72"/>
      <c r="E22" s="33">
        <f>'Fane 8. Kontrol af PL2015'!G36</f>
        <v>-305564</v>
      </c>
      <c r="F22" s="17" t="s">
        <v>4</v>
      </c>
      <c r="G22" s="33">
        <f>E22</f>
        <v>-305564</v>
      </c>
      <c r="H22" s="17" t="s">
        <v>4</v>
      </c>
      <c r="I22" s="1"/>
    </row>
    <row r="23" spans="1:9" x14ac:dyDescent="0.25">
      <c r="A23" s="1"/>
      <c r="B23" s="73" t="s">
        <v>39</v>
      </c>
      <c r="C23" s="74"/>
      <c r="D23" s="74"/>
      <c r="E23" s="74"/>
      <c r="F23" s="75"/>
      <c r="G23" s="34">
        <f>G12+G14+G20+G22</f>
        <v>5601447.8257159302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mergeCells count="17">
    <mergeCell ref="B8:H8"/>
    <mergeCell ref="B16:D16"/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10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106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6084981.2557159299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1540103.98661834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77279.261947592313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78244.15257705719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6084016.3650864651</v>
      </c>
      <c r="F13" s="17" t="s">
        <v>4</v>
      </c>
      <c r="G13" s="33">
        <f>E13</f>
        <v>6084016.3650864651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105</v>
      </c>
      <c r="C15" s="71"/>
      <c r="D15" s="72"/>
      <c r="E15" s="37">
        <f>IF('Fane 5. Hist. over el. underdæk'!$G$12&gt;1,'Fane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73" t="s">
        <v>42</v>
      </c>
      <c r="C16" s="74"/>
      <c r="D16" s="74"/>
      <c r="E16" s="74"/>
      <c r="F16" s="75"/>
      <c r="G16" s="34">
        <f>G13+G15</f>
        <v>5878163.8650864651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>
      <selection activeCell="G16" sqref="G1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9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106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6084016.3650864642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1559663.3072483928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77267.007836598088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77890.809808434453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6083392.5631146282</v>
      </c>
      <c r="F13" s="17" t="s">
        <v>4</v>
      </c>
      <c r="G13" s="33">
        <f>E13</f>
        <v>6083392.5631146282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105</v>
      </c>
      <c r="C15" s="71"/>
      <c r="D15" s="72"/>
      <c r="E15" s="37">
        <f>IF('Fane 5. Hist. over el. underdæk'!$G$12&gt;2,'Fane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73" t="s">
        <v>45</v>
      </c>
      <c r="C16" s="74"/>
      <c r="D16" s="74"/>
      <c r="E16" s="74"/>
      <c r="F16" s="75"/>
      <c r="G16" s="34">
        <f>G13+G15</f>
        <v>5877540.0631146282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>
      <selection activeCell="F6" sqref="F6"/>
    </sheetView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8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106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6083392.5631146282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1579471.0312504473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77259.085551555778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77539.06270042056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6083112.5859657638</v>
      </c>
      <c r="F13" s="17" t="s">
        <v>4</v>
      </c>
      <c r="G13" s="33">
        <f>E13</f>
        <v>6083112.5859657638</v>
      </c>
      <c r="H13" s="17" t="s">
        <v>4</v>
      </c>
      <c r="I13" s="1"/>
    </row>
    <row r="14" spans="1:9" x14ac:dyDescent="0.25">
      <c r="A14" s="1"/>
      <c r="B14" s="73" t="s">
        <v>32</v>
      </c>
      <c r="C14" s="74"/>
      <c r="D14" s="74"/>
      <c r="E14" s="74"/>
      <c r="F14" s="74"/>
      <c r="G14" s="74"/>
      <c r="H14" s="75"/>
      <c r="I14" s="1"/>
    </row>
    <row r="15" spans="1:9" ht="15" customHeight="1" x14ac:dyDescent="0.25">
      <c r="A15" s="1"/>
      <c r="B15" s="70" t="s">
        <v>105</v>
      </c>
      <c r="C15" s="71"/>
      <c r="D15" s="72"/>
      <c r="E15" s="37">
        <f>IF('Fane 5. Hist. over el. underdæk'!$G$12&gt;3,'Fane 5. Hist. over el. underdæk'!$G$13,0)</f>
        <v>-205852.5</v>
      </c>
      <c r="F15" s="17" t="s">
        <v>4</v>
      </c>
      <c r="G15" s="33">
        <f>E15</f>
        <v>-205852.5</v>
      </c>
      <c r="H15" s="17" t="s">
        <v>4</v>
      </c>
      <c r="I15" s="1"/>
    </row>
    <row r="16" spans="1:9" x14ac:dyDescent="0.25">
      <c r="A16" s="1"/>
      <c r="B16" s="73" t="s">
        <v>47</v>
      </c>
      <c r="C16" s="74"/>
      <c r="D16" s="74"/>
      <c r="E16" s="74"/>
      <c r="F16" s="75"/>
      <c r="G16" s="34">
        <f>G13+G15</f>
        <v>5877260.0859657638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56"/>
  <sheetViews>
    <sheetView view="pageLayout" topLeftCell="A4" zoomScaleNormal="100" workbookViewId="0">
      <selection activeCell="D28" sqref="D28"/>
    </sheetView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7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119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1265381.0632601022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2801958.7204451291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1322188.9842231199</v>
      </c>
      <c r="H11" s="10" t="s">
        <v>4</v>
      </c>
      <c r="I11" s="1"/>
    </row>
    <row r="12" spans="1:9" x14ac:dyDescent="0.25">
      <c r="A12" s="1"/>
      <c r="B12" s="73" t="s">
        <v>48</v>
      </c>
      <c r="C12" s="74"/>
      <c r="D12" s="74"/>
      <c r="E12" s="74"/>
      <c r="F12" s="75"/>
      <c r="G12" s="34">
        <f>SUM(G9:G11)</f>
        <v>5389528.7679283507</v>
      </c>
      <c r="H12" s="18" t="s">
        <v>4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73" t="s">
        <v>122</v>
      </c>
      <c r="C14" s="74"/>
      <c r="D14" s="74"/>
      <c r="E14" s="74"/>
      <c r="F14" s="74"/>
      <c r="G14" s="74"/>
      <c r="H14" s="75"/>
      <c r="I14" s="1"/>
    </row>
    <row r="15" spans="1:9" x14ac:dyDescent="0.25">
      <c r="A15" s="1"/>
      <c r="B15" s="77" t="s">
        <v>100</v>
      </c>
      <c r="C15" s="78"/>
      <c r="D15" s="78"/>
      <c r="E15" s="78"/>
      <c r="F15" s="79"/>
      <c r="G15" s="36">
        <f>361598*0.9962*1.0127</f>
        <v>364798.77148051996</v>
      </c>
      <c r="H15" s="10" t="s">
        <v>4</v>
      </c>
      <c r="I15" s="1"/>
    </row>
    <row r="16" spans="1:9" x14ac:dyDescent="0.25">
      <c r="A16" s="1"/>
      <c r="B16" s="77" t="s">
        <v>101</v>
      </c>
      <c r="C16" s="78"/>
      <c r="D16" s="78"/>
      <c r="E16" s="78"/>
      <c r="F16" s="79"/>
      <c r="G16" s="36">
        <f>189659*0.9962*1.0127</f>
        <v>191337.81215665999</v>
      </c>
      <c r="H16" s="10" t="s">
        <v>4</v>
      </c>
      <c r="I16" s="1"/>
    </row>
    <row r="17" spans="1:9" x14ac:dyDescent="0.25">
      <c r="A17" s="1"/>
      <c r="B17" s="77" t="s">
        <v>102</v>
      </c>
      <c r="C17" s="78"/>
      <c r="D17" s="78"/>
      <c r="E17" s="78"/>
      <c r="F17" s="79"/>
      <c r="G17" s="36">
        <f>216003*0.9962*1.0127</f>
        <v>217915.00239521998</v>
      </c>
      <c r="H17" s="10" t="s">
        <v>4</v>
      </c>
      <c r="I17" s="1"/>
    </row>
    <row r="18" spans="1:9" x14ac:dyDescent="0.25">
      <c r="A18" s="1"/>
      <c r="B18" s="73" t="s">
        <v>48</v>
      </c>
      <c r="C18" s="74"/>
      <c r="D18" s="74"/>
      <c r="E18" s="74"/>
      <c r="F18" s="75"/>
      <c r="G18" s="34">
        <f>SUM(G15:G17)</f>
        <v>774051.58603239991</v>
      </c>
      <c r="H18" s="18" t="s">
        <v>4</v>
      </c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73" t="s">
        <v>120</v>
      </c>
      <c r="C20" s="74"/>
      <c r="D20" s="74"/>
      <c r="E20" s="74"/>
      <c r="F20" s="74"/>
      <c r="G20" s="74"/>
      <c r="H20" s="75"/>
      <c r="I20" s="1"/>
    </row>
    <row r="21" spans="1:9" x14ac:dyDescent="0.25">
      <c r="A21" s="1"/>
      <c r="B21" s="77" t="s">
        <v>100</v>
      </c>
      <c r="C21" s="78"/>
      <c r="D21" s="78"/>
      <c r="E21" s="78"/>
      <c r="F21" s="79"/>
      <c r="G21" s="36">
        <f>G9+G15</f>
        <v>1630179.8347406222</v>
      </c>
      <c r="H21" s="10" t="s">
        <v>4</v>
      </c>
      <c r="I21" s="1"/>
    </row>
    <row r="22" spans="1:9" x14ac:dyDescent="0.25">
      <c r="A22" s="1"/>
      <c r="B22" s="77" t="s">
        <v>101</v>
      </c>
      <c r="C22" s="78"/>
      <c r="D22" s="78"/>
      <c r="E22" s="78"/>
      <c r="F22" s="79"/>
      <c r="G22" s="36">
        <f t="shared" ref="G22:G23" si="0">G10+G16</f>
        <v>2993296.5326017891</v>
      </c>
      <c r="H22" s="10" t="s">
        <v>4</v>
      </c>
      <c r="I22" s="1"/>
    </row>
    <row r="23" spans="1:9" x14ac:dyDescent="0.25">
      <c r="A23" s="1"/>
      <c r="B23" s="77" t="s">
        <v>102</v>
      </c>
      <c r="C23" s="78"/>
      <c r="D23" s="78"/>
      <c r="E23" s="78"/>
      <c r="F23" s="79"/>
      <c r="G23" s="36">
        <f t="shared" si="0"/>
        <v>1540103.98661834</v>
      </c>
      <c r="H23" s="10" t="s">
        <v>4</v>
      </c>
      <c r="I23" s="1"/>
    </row>
    <row r="24" spans="1:9" x14ac:dyDescent="0.25">
      <c r="A24" s="1"/>
      <c r="B24" s="73" t="s">
        <v>48</v>
      </c>
      <c r="C24" s="74"/>
      <c r="D24" s="74"/>
      <c r="E24" s="74"/>
      <c r="F24" s="75"/>
      <c r="G24" s="34">
        <f>G12+G18</f>
        <v>6163580.3539607506</v>
      </c>
      <c r="H24" s="18" t="s">
        <v>4</v>
      </c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22" t="s">
        <v>121</v>
      </c>
      <c r="C26" s="21"/>
      <c r="D26" s="21"/>
      <c r="E26" s="21"/>
      <c r="F26" s="21"/>
      <c r="G26" s="21"/>
      <c r="H26" s="21"/>
      <c r="I26" s="1"/>
    </row>
    <row r="27" spans="1:9" x14ac:dyDescent="0.25">
      <c r="A27" s="1"/>
      <c r="B27" s="22" t="s">
        <v>123</v>
      </c>
      <c r="C27" s="21"/>
      <c r="D27" s="21"/>
      <c r="E27" s="21"/>
      <c r="F27" s="21"/>
      <c r="G27" s="21"/>
      <c r="H27" s="2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  <row r="53" spans="1:9" x14ac:dyDescent="0.25">
      <c r="A53" s="6"/>
      <c r="B53" s="6"/>
      <c r="C53" s="6"/>
      <c r="D53" s="6"/>
      <c r="E53" s="6"/>
      <c r="F53" s="6"/>
      <c r="G53" s="6"/>
      <c r="H53" s="6"/>
      <c r="I53" s="6"/>
    </row>
    <row r="54" spans="1:9" x14ac:dyDescent="0.25">
      <c r="A54" s="6"/>
      <c r="B54" s="6"/>
      <c r="C54" s="6"/>
      <c r="D54" s="6"/>
      <c r="E54" s="6"/>
      <c r="F54" s="6"/>
      <c r="G54" s="6"/>
      <c r="H54" s="6"/>
      <c r="I54" s="6"/>
    </row>
    <row r="55" spans="1:9" x14ac:dyDescent="0.25">
      <c r="A55" s="6"/>
      <c r="B55" s="6"/>
      <c r="C55" s="6"/>
      <c r="D55" s="6"/>
      <c r="E55" s="6"/>
      <c r="F55" s="6"/>
      <c r="G55" s="6"/>
      <c r="H55" s="6"/>
      <c r="I55" s="6"/>
    </row>
    <row r="56" spans="1:9" x14ac:dyDescent="0.25">
      <c r="A56" s="6"/>
      <c r="B56" s="6"/>
      <c r="C56" s="6"/>
      <c r="D56" s="6"/>
      <c r="E56" s="6"/>
      <c r="F56" s="6"/>
      <c r="G56" s="6"/>
      <c r="H56" s="6"/>
      <c r="I56" s="6"/>
    </row>
  </sheetData>
  <mergeCells count="16">
    <mergeCell ref="B24:F24"/>
    <mergeCell ref="B20:H20"/>
    <mergeCell ref="B3:H4"/>
    <mergeCell ref="B23:F23"/>
    <mergeCell ref="B22:F22"/>
    <mergeCell ref="B21:F21"/>
    <mergeCell ref="B8:H8"/>
    <mergeCell ref="B9:F9"/>
    <mergeCell ref="B10:F10"/>
    <mergeCell ref="B11:F11"/>
    <mergeCell ref="B12:F12"/>
    <mergeCell ref="B14:H14"/>
    <mergeCell ref="B15:F15"/>
    <mergeCell ref="B16:F16"/>
    <mergeCell ref="B17:F17"/>
    <mergeCell ref="B18:F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>
      <selection activeCell="G9" sqref="G9"/>
    </sheetView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113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103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107</v>
      </c>
      <c r="C9" s="78"/>
      <c r="D9" s="78"/>
      <c r="E9" s="78"/>
      <c r="F9" s="79"/>
      <c r="G9" s="20">
        <f>'Fane 3. Grundlag'!G24-'Fane 3. Grundlag'!G23</f>
        <v>4623476.3673424106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3" t="s">
        <v>28</v>
      </c>
      <c r="C11" s="74"/>
      <c r="D11" s="74"/>
      <c r="E11" s="74"/>
      <c r="F11" s="75"/>
      <c r="G11" s="34">
        <f>$G$9*$G$10/100</f>
        <v>78599.098244820983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6" t="s">
        <v>114</v>
      </c>
      <c r="C3" s="76"/>
      <c r="D3" s="76"/>
      <c r="E3" s="76"/>
      <c r="F3" s="76"/>
      <c r="G3" s="76"/>
      <c r="H3" s="76"/>
      <c r="I3" s="1"/>
    </row>
    <row r="4" spans="1:9" ht="15" customHeight="1" x14ac:dyDescent="0.25">
      <c r="A4" s="1"/>
      <c r="B4" s="76"/>
      <c r="C4" s="76"/>
      <c r="D4" s="76"/>
      <c r="E4" s="76"/>
      <c r="F4" s="76"/>
      <c r="G4" s="76"/>
      <c r="H4" s="7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3" t="s">
        <v>104</v>
      </c>
      <c r="C8" s="74"/>
      <c r="D8" s="74"/>
      <c r="E8" s="74"/>
      <c r="F8" s="74"/>
      <c r="G8" s="74"/>
      <c r="H8" s="75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-2162492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-1339082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-823410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4</v>
      </c>
      <c r="H12" s="10" t="s">
        <v>4</v>
      </c>
      <c r="I12" s="1"/>
    </row>
    <row r="13" spans="1:9" x14ac:dyDescent="0.25">
      <c r="A13" s="1"/>
      <c r="B13" s="73" t="s">
        <v>76</v>
      </c>
      <c r="C13" s="74"/>
      <c r="D13" s="74"/>
      <c r="E13" s="74"/>
      <c r="F13" s="75"/>
      <c r="G13" s="34">
        <f>G11/G12</f>
        <v>-205852.5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6" t="s">
        <v>115</v>
      </c>
      <c r="C3" s="76"/>
      <c r="D3" s="76"/>
      <c r="E3" s="76"/>
      <c r="F3" s="76"/>
      <c r="G3" s="76"/>
      <c r="H3" s="1"/>
    </row>
    <row r="4" spans="1:8" ht="15" customHeight="1" x14ac:dyDescent="0.25">
      <c r="A4" s="1"/>
      <c r="B4" s="76"/>
      <c r="C4" s="76"/>
      <c r="D4" s="76"/>
      <c r="E4" s="76"/>
      <c r="F4" s="76"/>
      <c r="G4" s="7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3" t="s">
        <v>6</v>
      </c>
      <c r="C8" s="74"/>
      <c r="D8" s="74"/>
      <c r="E8" s="74"/>
      <c r="F8" s="74"/>
      <c r="G8" s="75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x14ac:dyDescent="0.25">
      <c r="A10" s="1"/>
      <c r="B10" s="41" t="s">
        <v>109</v>
      </c>
      <c r="C10" s="39">
        <v>2015</v>
      </c>
      <c r="D10" s="39">
        <v>50</v>
      </c>
      <c r="E10" s="36">
        <v>1407783</v>
      </c>
      <c r="F10" s="20">
        <f>E10/D10</f>
        <v>28155.66</v>
      </c>
      <c r="G10" s="10" t="s">
        <v>4</v>
      </c>
      <c r="H10" s="1"/>
    </row>
    <row r="11" spans="1:8" x14ac:dyDescent="0.25">
      <c r="A11" s="1"/>
      <c r="B11" s="41" t="s">
        <v>110</v>
      </c>
      <c r="C11" s="39">
        <v>2015</v>
      </c>
      <c r="D11" s="39">
        <v>8</v>
      </c>
      <c r="E11" s="36">
        <v>59299</v>
      </c>
      <c r="F11" s="20">
        <f t="shared" ref="F11" si="0">E11/D11</f>
        <v>7412.375</v>
      </c>
      <c r="G11" s="10" t="s">
        <v>4</v>
      </c>
      <c r="H11" s="1"/>
    </row>
    <row r="12" spans="1:8" x14ac:dyDescent="0.25">
      <c r="A12" s="1"/>
      <c r="B12" s="73" t="s">
        <v>5</v>
      </c>
      <c r="C12" s="74"/>
      <c r="D12" s="74"/>
      <c r="E12" s="75"/>
      <c r="F12" s="34">
        <f>SUM(F10:F11)</f>
        <v>35568.035000000003</v>
      </c>
      <c r="G12" s="18" t="s">
        <v>4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6"/>
      <c r="B17" s="6"/>
      <c r="C17" s="6"/>
      <c r="D17" s="6"/>
      <c r="E17" s="6"/>
      <c r="F17" s="6"/>
      <c r="G17" s="6"/>
      <c r="H17" s="6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</sheetData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 (KFST)</cp:lastModifiedBy>
  <cp:lastPrinted>2016-06-14T12:57:30Z</cp:lastPrinted>
  <dcterms:created xsi:type="dcterms:W3CDTF">2016-06-02T08:51:18Z</dcterms:created>
  <dcterms:modified xsi:type="dcterms:W3CDTF">2018-09-13T11:51:30Z</dcterms:modified>
</cp:coreProperties>
</file>