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E11" i="11" l="1"/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C18" i="15"/>
  <c r="G12" i="30" l="1"/>
  <c r="G10" i="30"/>
  <c r="F14" i="11"/>
  <c r="D10" i="20" s="1"/>
  <c r="G14" i="11"/>
  <c r="D23" i="7" l="1"/>
  <c r="F23" i="7" s="1"/>
  <c r="C11" i="2" s="1"/>
  <c r="D22" i="7"/>
  <c r="F22" i="7" s="1"/>
  <c r="C10" i="2" s="1"/>
  <c r="G11" i="27" l="1"/>
  <c r="E18" i="15" l="1"/>
  <c r="D11" i="20"/>
  <c r="F11" i="21"/>
  <c r="F12" i="21" s="1"/>
  <c r="C15" i="2" s="1"/>
  <c r="D11" i="21"/>
  <c r="D12" i="21" s="1"/>
  <c r="C14" i="2" s="1"/>
  <c r="C9" i="2"/>
  <c r="E16" i="19"/>
  <c r="E17" i="19" s="1"/>
  <c r="C22" i="2" l="1"/>
  <c r="E22" i="2" s="1"/>
  <c r="C15" i="22"/>
  <c r="E15" i="22" s="1"/>
  <c r="C15" i="23"/>
  <c r="E15" i="23" s="1"/>
  <c r="C16" i="15"/>
  <c r="E16" i="15" s="1"/>
  <c r="G13" i="10"/>
  <c r="G11" i="10" l="1"/>
  <c r="E13" i="11" l="1"/>
  <c r="D12" i="20" l="1"/>
  <c r="C12" i="2" s="1"/>
  <c r="C18" i="2" s="1"/>
  <c r="C12" i="15" l="1"/>
  <c r="C11" i="22" s="1"/>
  <c r="C11" i="23" s="1"/>
  <c r="E12" i="11"/>
  <c r="E10" i="11" l="1"/>
  <c r="E14" i="11" s="1"/>
  <c r="F10" i="20" s="1"/>
  <c r="F11" i="20" s="1"/>
  <c r="F12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1" i="15" s="1"/>
  <c r="C14" i="15" l="1"/>
  <c r="E14" i="15" s="1"/>
  <c r="E21" i="15" s="1"/>
  <c r="C8" i="22" l="1"/>
  <c r="C9" i="22" s="1"/>
  <c r="C10" i="22" l="1"/>
  <c r="C13" i="22" s="1"/>
  <c r="E13" i="22" s="1"/>
  <c r="E16" i="22" l="1"/>
  <c r="C8" i="23"/>
  <c r="C9" i="23" s="1"/>
  <c r="C10" i="23" l="1"/>
  <c r="C13" i="23" s="1"/>
  <c r="E13" i="23" s="1"/>
  <c r="E16" i="23" s="1"/>
</calcChain>
</file>

<file path=xl/sharedStrings.xml><?xml version="1.0" encoding="utf-8"?>
<sst xmlns="http://schemas.openxmlformats.org/spreadsheetml/2006/main" count="318" uniqueCount="163">
  <si>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</si>
  <si>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</si>
  <si>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</si>
  <si>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</si>
  <si>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</si>
  <si>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</si>
  <si>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</si>
  <si>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</si>
  <si>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</si>
  <si>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</si>
  <si>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</si>
  <si>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</si>
  <si>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</si>
  <si>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</si>
  <si>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</si>
  <si>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</si>
  <si>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</si>
  <si>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</si>
  <si>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</si>
  <si>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</si>
  <si>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</si>
  <si>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</si>
  <si>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</si>
  <si>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</si>
  <si>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</si>
  <si>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</si>
  <si>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</si>
  <si>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</si>
  <si>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</si>
  <si>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</si>
  <si>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</si>
  <si>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</si>
  <si>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</si>
  <si>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</si>
  <si>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</si>
  <si>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</si>
  <si>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</si>
  <si>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</si>
  <si>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</si>
  <si>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</si>
  <si>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</si>
  <si>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</si>
  <si>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</si>
  <si>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</si>
  <si>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</si>
  <si>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</si>
  <si>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</si>
  <si>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</si>
  <si>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</si>
  <si>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</si>
  <si>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</si>
  <si>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</si>
  <si>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</si>
  <si>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</si>
  <si>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</si>
  <si>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</si>
  <si>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</si>
  <si>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</si>
  <si>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</si>
  <si>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</si>
  <si>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</si>
  <si>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</si>
  <si>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</si>
  <si>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</si>
  <si>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</si>
  <si>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</si>
  <si>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</si>
  <si>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</si>
  <si>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</si>
  <si>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</si>
  <si>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</si>
  <si>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</si>
  <si>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</si>
  <si>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</si>
  <si>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</si>
  <si>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</si>
  <si>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</si>
  <si>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</si>
  <si>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</si>
  <si>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</si>
  <si>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</si>
  <si>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</si>
  <si>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</si>
  <si>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</si>
  <si>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</si>
  <si>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</si>
  <si>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</si>
  <si>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</si>
  <si>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</si>
  <si>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</si>
  <si>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</si>
  <si>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</si>
  <si>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</si>
  <si>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</si>
  <si>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</si>
  <si>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</si>
  <si>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</si>
  <si>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</si>
  <si>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</si>
  <si>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</si>
  <si>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</si>
  <si>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</si>
  <si>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</si>
  <si>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</si>
  <si>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</si>
  <si>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</si>
  <si>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</si>
  <si>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</si>
  <si>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</si>
  <si>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</si>
  <si>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</si>
  <si>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</si>
  <si>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</si>
  <si>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</si>
  <si>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</si>
  <si>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</si>
  <si>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</si>
  <si>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</si>
  <si>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</si>
  <si>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</si>
  <si>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</si>
  <si>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</si>
  <si>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</si>
  <si>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</si>
  <si>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</si>
  <si>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</si>
  <si>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</si>
  <si>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</si>
  <si>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</si>
  <si>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</si>
  <si>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</si>
  <si>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</si>
  <si>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</si>
  <si>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</si>
  <si>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</si>
  <si>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</si>
  <si>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</si>
  <si>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</si>
  <si>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</si>
  <si>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</si>
  <si>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</si>
  <si>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</si>
  <si>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</si>
  <si>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</si>
  <si>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</si>
  <si>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</si>
  <si>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</si>
  <si>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</si>
  <si>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</si>
  <si>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</si>
  <si>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Afgift til Forsyningsekretariatet</t>
  </si>
  <si>
    <t>Køb af ydelser og produkter fra andre vandselskaber reguleret af vandsektorloven</t>
  </si>
  <si>
    <t>Skatter og afgifter</t>
  </si>
  <si>
    <t>Selskabsskatter</t>
  </si>
  <si>
    <t>Ingen bortfald eller nedsættelse</t>
  </si>
  <si>
    <t>Fane 12: Bortfald eller nedsættelse af omkostninger til mål, medfinansiering eller udvidelse</t>
  </si>
  <si>
    <t>Fane 13: Nøgletal</t>
  </si>
  <si>
    <t>Software</t>
  </si>
  <si>
    <t>SRO anlæg</t>
  </si>
  <si>
    <t>TAG-nummerering af ledningsnettet</t>
  </si>
  <si>
    <t>Ø 250 mm &lt; Ledningsnet ≤ Ø 500mm</t>
  </si>
  <si>
    <t>Afgift for ledningsført vand</t>
  </si>
  <si>
    <t>Tjenestemandspensioner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</si>
</sst>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8" t="s">
        <v>4</v>
      </c>
      <c r="E6" s="68"/>
      <c r="F6" s="68"/>
      <c r="G6" s="68"/>
      <c r="H6" s="3"/>
      <c r="I6" s="1"/>
    </row>
    <row r="7" spans="1:9" ht="15" customHeight="1" x14ac:dyDescent="0.25">
      <c r="A7" s="1"/>
      <c r="B7" s="1"/>
      <c r="C7" s="3"/>
      <c r="D7" s="68"/>
      <c r="E7" s="68"/>
      <c r="F7" s="68"/>
      <c r="G7" s="68"/>
      <c r="H7" s="3"/>
      <c r="I7" s="1"/>
    </row>
    <row r="8" spans="1:9" ht="15.75" x14ac:dyDescent="0.25">
      <c r="A8" s="1"/>
      <c r="B8" s="1"/>
      <c r="C8" s="4"/>
      <c r="D8" s="76" t="s">
        <v>137</v>
      </c>
      <c r="E8" s="76"/>
      <c r="F8" s="76"/>
      <c r="G8" s="7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5" t="s">
        <v>5</v>
      </c>
      <c r="E11" s="75"/>
      <c r="F11" s="75"/>
      <c r="G11" s="7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5" t="s">
        <v>34</v>
      </c>
      <c r="E13" s="66"/>
      <c r="F13" s="66"/>
      <c r="G13" s="67"/>
      <c r="H13" s="1"/>
      <c r="I13" s="1"/>
    </row>
    <row r="14" spans="1:9" x14ac:dyDescent="0.25">
      <c r="A14" s="1"/>
      <c r="B14" s="1"/>
      <c r="C14" s="6" t="s">
        <v>33</v>
      </c>
      <c r="D14" s="65" t="s">
        <v>120</v>
      </c>
      <c r="E14" s="66"/>
      <c r="F14" s="66"/>
      <c r="G14" s="67"/>
      <c r="H14" s="1"/>
      <c r="I14" s="1"/>
    </row>
    <row r="15" spans="1:9" x14ac:dyDescent="0.25">
      <c r="A15" s="1"/>
      <c r="B15" s="1"/>
      <c r="C15" s="6" t="s">
        <v>119</v>
      </c>
      <c r="D15" s="65" t="s">
        <v>122</v>
      </c>
      <c r="E15" s="66"/>
      <c r="F15" s="66"/>
      <c r="G15" s="67"/>
      <c r="H15" s="1"/>
      <c r="I15" s="1"/>
    </row>
    <row r="16" spans="1:9" x14ac:dyDescent="0.25">
      <c r="A16" s="1"/>
      <c r="B16" s="1"/>
      <c r="C16" s="6" t="s">
        <v>121</v>
      </c>
      <c r="D16" s="65" t="s">
        <v>138</v>
      </c>
      <c r="E16" s="66"/>
      <c r="F16" s="66"/>
      <c r="G16" s="67"/>
      <c r="H16" s="1"/>
      <c r="I16" s="1"/>
    </row>
    <row r="17" spans="1:9" x14ac:dyDescent="0.25">
      <c r="A17" s="1"/>
      <c r="B17" s="1"/>
      <c r="C17" s="6" t="s">
        <v>7</v>
      </c>
      <c r="D17" s="77" t="s">
        <v>123</v>
      </c>
      <c r="E17" s="78"/>
      <c r="F17" s="78"/>
      <c r="G17" s="79"/>
      <c r="H17" s="1"/>
      <c r="I17" s="1"/>
    </row>
    <row r="18" spans="1:9" x14ac:dyDescent="0.25">
      <c r="A18" s="1"/>
      <c r="B18" s="1"/>
      <c r="C18" s="6" t="s">
        <v>8</v>
      </c>
      <c r="D18" s="77" t="s">
        <v>131</v>
      </c>
      <c r="E18" s="78"/>
      <c r="F18" s="78"/>
      <c r="G18" s="79"/>
      <c r="H18" s="1"/>
      <c r="I18" s="1"/>
    </row>
    <row r="19" spans="1:9" x14ac:dyDescent="0.25">
      <c r="A19" s="1"/>
      <c r="B19" s="1"/>
      <c r="C19" s="6" t="s">
        <v>9</v>
      </c>
      <c r="D19" s="77" t="s">
        <v>124</v>
      </c>
      <c r="E19" s="78"/>
      <c r="F19" s="78"/>
      <c r="G19" s="79"/>
      <c r="H19" s="1"/>
      <c r="I19" s="1"/>
    </row>
    <row r="20" spans="1:9" x14ac:dyDescent="0.25">
      <c r="A20" s="1"/>
      <c r="B20" s="1"/>
      <c r="C20" s="6" t="s">
        <v>10</v>
      </c>
      <c r="D20" s="80" t="s">
        <v>132</v>
      </c>
      <c r="E20" s="81"/>
      <c r="F20" s="81"/>
      <c r="G20" s="82"/>
      <c r="H20" s="1"/>
      <c r="I20" s="1"/>
    </row>
    <row r="21" spans="1:9" x14ac:dyDescent="0.25">
      <c r="A21" s="1"/>
      <c r="B21" s="1"/>
      <c r="C21" s="6" t="s">
        <v>11</v>
      </c>
      <c r="D21" s="80" t="s">
        <v>125</v>
      </c>
      <c r="E21" s="81"/>
      <c r="F21" s="81"/>
      <c r="G21" s="82"/>
      <c r="H21" s="1"/>
      <c r="I21" s="1"/>
    </row>
    <row r="22" spans="1:9" x14ac:dyDescent="0.25">
      <c r="A22" s="1"/>
      <c r="B22" s="1"/>
      <c r="C22" s="6" t="s">
        <v>12</v>
      </c>
      <c r="D22" s="69" t="s">
        <v>127</v>
      </c>
      <c r="E22" s="70"/>
      <c r="F22" s="70"/>
      <c r="G22" s="71"/>
      <c r="H22" s="1"/>
      <c r="I22" s="1"/>
    </row>
    <row r="23" spans="1:9" x14ac:dyDescent="0.25">
      <c r="A23" s="1"/>
      <c r="B23" s="1"/>
      <c r="C23" s="6" t="s">
        <v>13</v>
      </c>
      <c r="D23" s="72" t="s">
        <v>126</v>
      </c>
      <c r="E23" s="73"/>
      <c r="F23" s="73"/>
      <c r="G23" s="74"/>
      <c r="H23" s="1"/>
      <c r="I23" s="1"/>
    </row>
    <row r="24" spans="1:9" x14ac:dyDescent="0.25">
      <c r="A24" s="1"/>
      <c r="B24" s="1"/>
      <c r="C24" s="6" t="s">
        <v>27</v>
      </c>
      <c r="D24" s="72" t="s">
        <v>128</v>
      </c>
      <c r="E24" s="73"/>
      <c r="F24" s="73"/>
      <c r="G24" s="74"/>
      <c r="H24" s="1"/>
      <c r="I24" s="1"/>
    </row>
    <row r="25" spans="1:9" x14ac:dyDescent="0.25">
      <c r="A25" s="1"/>
      <c r="B25" s="1"/>
      <c r="C25" s="6" t="s">
        <v>31</v>
      </c>
      <c r="D25" s="72" t="s">
        <v>30</v>
      </c>
      <c r="E25" s="73"/>
      <c r="F25" s="73"/>
      <c r="G25" s="74"/>
      <c r="H25" s="1"/>
      <c r="I25" s="1"/>
    </row>
    <row r="26" spans="1:9" x14ac:dyDescent="0.25">
      <c r="A26" s="1"/>
      <c r="B26" s="1"/>
      <c r="C26" s="6" t="s">
        <v>32</v>
      </c>
      <c r="D26" s="83" t="s">
        <v>129</v>
      </c>
      <c r="E26" s="84"/>
      <c r="F26" s="84"/>
      <c r="G26" s="85"/>
      <c r="H26" s="1"/>
      <c r="I26" s="1"/>
    </row>
    <row r="27" spans="1:9" x14ac:dyDescent="0.25">
      <c r="A27" s="1"/>
      <c r="B27" s="1"/>
      <c r="C27" s="6" t="s">
        <v>130</v>
      </c>
      <c r="D27" s="83" t="s">
        <v>58</v>
      </c>
      <c r="E27" s="84"/>
      <c r="F27" s="84"/>
      <c r="G27" s="85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26:G26"/>
    <mergeCell ref="D27:G27"/>
    <mergeCell ref="D19:G19"/>
    <mergeCell ref="D21:G21"/>
    <mergeCell ref="D24:G24"/>
    <mergeCell ref="D25:G25"/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85</v>
      </c>
      <c r="C9" s="91"/>
      <c r="D9" s="91"/>
      <c r="E9" s="91"/>
      <c r="F9" s="92"/>
      <c r="G9" s="55">
        <v>234630.54977850651</v>
      </c>
      <c r="H9" s="22" t="s">
        <v>3</v>
      </c>
      <c r="I9" s="1"/>
    </row>
    <row r="10" spans="1:9" x14ac:dyDescent="0.25">
      <c r="A10" s="1"/>
      <c r="B10" s="90" t="s">
        <v>86</v>
      </c>
      <c r="C10" s="91"/>
      <c r="D10" s="91"/>
      <c r="E10" s="91"/>
      <c r="F10" s="92"/>
      <c r="G10" s="55">
        <f>G9/G17</f>
        <v>11731527.488925325</v>
      </c>
      <c r="H10" s="22" t="s">
        <v>3</v>
      </c>
      <c r="I10" s="1"/>
    </row>
    <row r="11" spans="1:9" x14ac:dyDescent="0.25">
      <c r="A11" s="1"/>
      <c r="B11" s="90" t="s">
        <v>87</v>
      </c>
      <c r="C11" s="91"/>
      <c r="D11" s="91"/>
      <c r="E11" s="91"/>
      <c r="F11" s="92"/>
      <c r="G11" s="55">
        <v>62929.639625661322</v>
      </c>
      <c r="H11" s="22" t="s">
        <v>3</v>
      </c>
      <c r="I11" s="1"/>
    </row>
    <row r="12" spans="1:9" x14ac:dyDescent="0.25">
      <c r="A12" s="1"/>
      <c r="B12" s="90" t="s">
        <v>88</v>
      </c>
      <c r="C12" s="91"/>
      <c r="D12" s="91"/>
      <c r="E12" s="91"/>
      <c r="F12" s="92"/>
      <c r="G12" s="55">
        <f>G11/G19</f>
        <v>6915345.0138089359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81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90</v>
      </c>
      <c r="C17" s="91"/>
      <c r="D17" s="91"/>
      <c r="E17" s="91"/>
      <c r="F17" s="92"/>
      <c r="G17" s="54">
        <v>0.02</v>
      </c>
      <c r="H17" s="22"/>
      <c r="I17" s="1"/>
    </row>
    <row r="18" spans="1:9" x14ac:dyDescent="0.25">
      <c r="A18" s="1"/>
      <c r="B18" s="90" t="s">
        <v>89</v>
      </c>
      <c r="C18" s="91"/>
      <c r="D18" s="91"/>
      <c r="E18" s="91"/>
      <c r="F18" s="92"/>
      <c r="G18" s="54">
        <v>0.02</v>
      </c>
      <c r="H18" s="22"/>
      <c r="I18" s="1"/>
    </row>
    <row r="19" spans="1:9" x14ac:dyDescent="0.25">
      <c r="A19" s="1"/>
      <c r="B19" s="90" t="s">
        <v>91</v>
      </c>
      <c r="C19" s="91"/>
      <c r="D19" s="91"/>
      <c r="E19" s="91"/>
      <c r="F19" s="92"/>
      <c r="G19" s="54">
        <v>9.1000000000000004E-3</v>
      </c>
      <c r="H19" s="22"/>
      <c r="I19" s="1"/>
    </row>
    <row r="20" spans="1:9" x14ac:dyDescent="0.25">
      <c r="A20" s="1"/>
      <c r="B20" s="90" t="s">
        <v>149</v>
      </c>
      <c r="C20" s="91"/>
      <c r="D20" s="91"/>
      <c r="E20" s="91"/>
      <c r="F20" s="92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20:F20"/>
    <mergeCell ref="B12:F12"/>
    <mergeCell ref="B16:H16"/>
    <mergeCell ref="B17:F17"/>
    <mergeCell ref="B18:F18"/>
    <mergeCell ref="B19:F19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18</v>
      </c>
      <c r="C9" s="91"/>
      <c r="D9" s="91"/>
      <c r="E9" s="91"/>
      <c r="F9" s="92"/>
      <c r="G9" s="11">
        <v>2341720</v>
      </c>
      <c r="H9" s="22" t="s">
        <v>3</v>
      </c>
      <c r="I9" s="1"/>
    </row>
    <row r="10" spans="1:9" x14ac:dyDescent="0.25">
      <c r="A10" s="1"/>
      <c r="B10" s="90" t="s">
        <v>53</v>
      </c>
      <c r="C10" s="91"/>
      <c r="D10" s="91"/>
      <c r="E10" s="91"/>
      <c r="F10" s="92"/>
      <c r="G10" s="11">
        <v>2341720</v>
      </c>
      <c r="H10" s="22" t="s">
        <v>3</v>
      </c>
      <c r="I10" s="1"/>
    </row>
    <row r="11" spans="1:9" x14ac:dyDescent="0.25">
      <c r="A11" s="1"/>
      <c r="B11" s="99" t="s">
        <v>21</v>
      </c>
      <c r="C11" s="100"/>
      <c r="D11" s="100"/>
      <c r="E11" s="100"/>
      <c r="F11" s="101"/>
      <c r="G11" s="31">
        <f>G9-G10</f>
        <v>0</v>
      </c>
      <c r="H11" s="26" t="s">
        <v>3</v>
      </c>
      <c r="I11" s="1"/>
    </row>
    <row r="12" spans="1:9" x14ac:dyDescent="0.25">
      <c r="A12" s="1"/>
      <c r="B12" s="90" t="s">
        <v>19</v>
      </c>
      <c r="C12" s="91"/>
      <c r="D12" s="91"/>
      <c r="E12" s="91"/>
      <c r="F12" s="92"/>
      <c r="G12" s="11">
        <v>0</v>
      </c>
      <c r="H12" s="22" t="s">
        <v>43</v>
      </c>
      <c r="I12" s="1"/>
    </row>
    <row r="13" spans="1:9" x14ac:dyDescent="0.25">
      <c r="A13" s="1"/>
      <c r="B13" s="93" t="s">
        <v>17</v>
      </c>
      <c r="C13" s="94"/>
      <c r="D13" s="94"/>
      <c r="E13" s="94"/>
      <c r="F13" s="95"/>
      <c r="G13" s="20">
        <f>IF(G12 = 0,0,G11/G12)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136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93</v>
      </c>
      <c r="C9" s="91"/>
      <c r="D9" s="92"/>
      <c r="E9" s="11">
        <v>45033121.404477321</v>
      </c>
      <c r="F9" s="22" t="s">
        <v>3</v>
      </c>
      <c r="G9" s="19"/>
      <c r="H9" s="27"/>
      <c r="I9" s="1"/>
    </row>
    <row r="10" spans="1:9" x14ac:dyDescent="0.25">
      <c r="A10" s="1"/>
      <c r="B10" s="90" t="s">
        <v>94</v>
      </c>
      <c r="C10" s="91"/>
      <c r="D10" s="92"/>
      <c r="E10" s="11">
        <v>45676550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99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2" t="s">
        <v>107</v>
      </c>
      <c r="C12" s="103"/>
      <c r="D12" s="104"/>
      <c r="E12" s="17">
        <f>E9-(E10-E11)</f>
        <v>-643428.59552267939</v>
      </c>
      <c r="F12" s="25" t="s">
        <v>3</v>
      </c>
      <c r="G12" s="17">
        <f>E12</f>
        <v>-643428.59552267939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104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101</v>
      </c>
      <c r="C17" s="91"/>
      <c r="D17" s="92"/>
      <c r="E17" s="11">
        <v>4374695.9421333335</v>
      </c>
      <c r="F17" s="22" t="s">
        <v>3</v>
      </c>
      <c r="G17" s="19"/>
      <c r="H17" s="27"/>
      <c r="I17" s="1"/>
    </row>
    <row r="18" spans="1:9" x14ac:dyDescent="0.25">
      <c r="A18" s="1"/>
      <c r="B18" s="90" t="s">
        <v>102</v>
      </c>
      <c r="C18" s="91"/>
      <c r="D18" s="92"/>
      <c r="E18" s="11">
        <v>-4818220.4401611462</v>
      </c>
      <c r="F18" s="22" t="s">
        <v>3</v>
      </c>
      <c r="G18" s="14"/>
      <c r="H18" s="28"/>
      <c r="I18" s="1"/>
    </row>
    <row r="19" spans="1:9" x14ac:dyDescent="0.25">
      <c r="A19" s="1"/>
      <c r="B19" s="102" t="s">
        <v>105</v>
      </c>
      <c r="C19" s="103"/>
      <c r="D19" s="104"/>
      <c r="E19" s="17">
        <f>SUM(E17:E18)</f>
        <v>-443524.49802781269</v>
      </c>
      <c r="F19" s="25" t="s">
        <v>3</v>
      </c>
      <c r="G19" s="17">
        <f>E19</f>
        <v>-443524.49802781269</v>
      </c>
      <c r="H19" s="25" t="s">
        <v>3</v>
      </c>
      <c r="I19" s="1"/>
    </row>
    <row r="20" spans="1:9" x14ac:dyDescent="0.25">
      <c r="A20" s="1"/>
      <c r="B20" s="102" t="s">
        <v>106</v>
      </c>
      <c r="C20" s="103"/>
      <c r="D20" s="104"/>
      <c r="E20" s="17">
        <f>SUM(E17:E18)*(1+Prisudvikling2018)</f>
        <v>-451286.17674329947</v>
      </c>
      <c r="F20" s="25" t="s">
        <v>3</v>
      </c>
      <c r="G20" s="17">
        <f>E20</f>
        <v>-451286.17674329947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3" t="s">
        <v>103</v>
      </c>
      <c r="C24" s="94"/>
      <c r="D24" s="94"/>
      <c r="E24" s="94"/>
      <c r="F24" s="94"/>
      <c r="G24" s="94"/>
      <c r="H24" s="95"/>
      <c r="I24" s="1"/>
    </row>
    <row r="25" spans="1:9" x14ac:dyDescent="0.25">
      <c r="A25" s="1"/>
      <c r="B25" s="108" t="s">
        <v>109</v>
      </c>
      <c r="C25" s="109"/>
      <c r="D25" s="110"/>
      <c r="E25" s="11">
        <f>IF(E12&lt;0,E20+E12,IF(E20+E12&lt;0,E20+E12,IF(E20&lt;0,0,E20)))</f>
        <v>-1094714.7722659789</v>
      </c>
      <c r="F25" s="22" t="s">
        <v>3</v>
      </c>
      <c r="G25" s="14"/>
      <c r="H25" s="28"/>
      <c r="I25" s="1"/>
    </row>
    <row r="26" spans="1:9" x14ac:dyDescent="0.25">
      <c r="A26" s="1"/>
      <c r="B26" s="108" t="s">
        <v>100</v>
      </c>
      <c r="C26" s="109"/>
      <c r="D26" s="110"/>
      <c r="E26" s="11">
        <v>2</v>
      </c>
      <c r="F26" s="22" t="s">
        <v>43</v>
      </c>
      <c r="G26" s="14"/>
      <c r="H26" s="28"/>
      <c r="I26" s="1"/>
    </row>
    <row r="27" spans="1:9" x14ac:dyDescent="0.25">
      <c r="A27" s="1"/>
      <c r="B27" s="108" t="s">
        <v>111</v>
      </c>
      <c r="C27" s="109"/>
      <c r="D27" s="110"/>
      <c r="E27" s="11">
        <f>E25/E26</f>
        <v>-547357.38613298943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5" t="s">
        <v>108</v>
      </c>
      <c r="C28" s="106"/>
      <c r="D28" s="107"/>
      <c r="E28" s="11">
        <f>IF(E20+E12&gt;0,E12-(E25-E20),0)</f>
        <v>0</v>
      </c>
      <c r="F28" s="22" t="s">
        <v>3</v>
      </c>
      <c r="G28" s="14"/>
      <c r="H28" s="28"/>
      <c r="I28" s="1"/>
    </row>
    <row r="29" spans="1:9" x14ac:dyDescent="0.25">
      <c r="A29" s="1"/>
      <c r="B29" s="93" t="s">
        <v>110</v>
      </c>
      <c r="C29" s="94"/>
      <c r="D29" s="94"/>
      <c r="E29" s="94"/>
      <c r="F29" s="95"/>
      <c r="G29" s="20">
        <f>E27</f>
        <v>-547357.38613298943</v>
      </c>
      <c r="H29" s="21" t="s">
        <v>3</v>
      </c>
      <c r="I29" s="1"/>
    </row>
    <row r="30" spans="1:9" x14ac:dyDescent="0.25">
      <c r="A30" s="1"/>
      <c r="B30" s="93" t="s">
        <v>112</v>
      </c>
      <c r="C30" s="94"/>
      <c r="D30" s="94"/>
      <c r="E30" s="94"/>
      <c r="F30" s="95"/>
      <c r="G30" s="20">
        <f>G29*(1+Prisudvikling2019)^2</f>
        <v>-566014.39652733784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:H4"/>
    <mergeCell ref="B8:H8"/>
    <mergeCell ref="B9:D9"/>
    <mergeCell ref="B10:D10"/>
    <mergeCell ref="B11:D11"/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142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143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x14ac:dyDescent="0.25">
      <c r="A10" s="1"/>
      <c r="B10" s="60" t="s">
        <v>157</v>
      </c>
      <c r="C10" s="61">
        <v>5</v>
      </c>
      <c r="D10" s="11">
        <v>50100.5</v>
      </c>
      <c r="E10" s="11">
        <f>D10/C10</f>
        <v>10020.1</v>
      </c>
      <c r="F10" s="11">
        <v>0</v>
      </c>
      <c r="G10" s="11">
        <v>0</v>
      </c>
      <c r="H10" s="22" t="s">
        <v>3</v>
      </c>
      <c r="I10" s="1"/>
    </row>
    <row r="11" spans="1:9" x14ac:dyDescent="0.25">
      <c r="A11" s="1"/>
      <c r="B11" s="60" t="s">
        <v>158</v>
      </c>
      <c r="C11" s="61">
        <v>10</v>
      </c>
      <c r="D11" s="11">
        <v>19528.93</v>
      </c>
      <c r="E11" s="11">
        <f>D11/C11</f>
        <v>1952.893</v>
      </c>
      <c r="F11" s="11">
        <v>0</v>
      </c>
      <c r="G11" s="11">
        <v>0</v>
      </c>
      <c r="H11" s="22" t="s">
        <v>3</v>
      </c>
      <c r="I11" s="1"/>
    </row>
    <row r="12" spans="1:9" ht="26.25" x14ac:dyDescent="0.25">
      <c r="A12" s="1"/>
      <c r="B12" s="60" t="s">
        <v>159</v>
      </c>
      <c r="C12" s="61">
        <v>10</v>
      </c>
      <c r="D12" s="11">
        <v>59932.82</v>
      </c>
      <c r="E12" s="11">
        <f t="shared" ref="E12:E13" si="0">D12/C12</f>
        <v>5993.2820000000002</v>
      </c>
      <c r="F12" s="11">
        <v>0</v>
      </c>
      <c r="G12" s="11">
        <v>0</v>
      </c>
      <c r="H12" s="22" t="s">
        <v>3</v>
      </c>
      <c r="I12" s="1"/>
    </row>
    <row r="13" spans="1:9" ht="26.25" x14ac:dyDescent="0.25">
      <c r="A13" s="1"/>
      <c r="B13" s="60" t="s">
        <v>160</v>
      </c>
      <c r="C13" s="61">
        <v>75</v>
      </c>
      <c r="D13" s="11">
        <v>6486181.5700000003</v>
      </c>
      <c r="E13" s="11">
        <f t="shared" si="0"/>
        <v>86482.420933333342</v>
      </c>
      <c r="F13" s="11">
        <v>0</v>
      </c>
      <c r="G13" s="11">
        <v>0</v>
      </c>
      <c r="H13" s="22" t="s">
        <v>3</v>
      </c>
      <c r="I13" s="1"/>
    </row>
    <row r="14" spans="1:9" x14ac:dyDescent="0.25">
      <c r="A14" s="1"/>
      <c r="B14" s="93" t="s">
        <v>144</v>
      </c>
      <c r="C14" s="94"/>
      <c r="D14" s="95"/>
      <c r="E14" s="20">
        <f>SUM(E10:E13)</f>
        <v>104448.69593333334</v>
      </c>
      <c r="F14" s="20">
        <f t="shared" ref="F14:G14" si="1">SUM(F10:F13)</f>
        <v>0</v>
      </c>
      <c r="G14" s="20">
        <f t="shared" si="1"/>
        <v>0</v>
      </c>
      <c r="H14" s="2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3">
    <mergeCell ref="B3:H4"/>
    <mergeCell ref="B14:D14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44</v>
      </c>
      <c r="C3" s="86"/>
      <c r="D3" s="86"/>
      <c r="E3" s="86"/>
      <c r="F3" s="86"/>
      <c r="G3" s="86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8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25">
      <c r="A10" s="1"/>
      <c r="B10" s="56" t="s">
        <v>143</v>
      </c>
      <c r="C10" s="57"/>
      <c r="D10" s="53">
        <f>'Fane 10. Anlægsprojekter'!F14</f>
        <v>0</v>
      </c>
      <c r="E10" s="22" t="s">
        <v>3</v>
      </c>
      <c r="F10" s="11">
        <f>SUM('Fane 10. Anlægsprojekter'!E14,'Fane 10. Anlægsprojekter'!G14)</f>
        <v>104448.69593333334</v>
      </c>
      <c r="G10" s="22" t="s">
        <v>3</v>
      </c>
      <c r="H10" s="1"/>
    </row>
    <row r="11" spans="1:8" x14ac:dyDescent="0.25">
      <c r="A11" s="1"/>
      <c r="B11" s="41" t="s">
        <v>145</v>
      </c>
      <c r="C11" s="43"/>
      <c r="D11" s="20">
        <f>SUM(D10:D10)</f>
        <v>0</v>
      </c>
      <c r="E11" s="21" t="s">
        <v>3</v>
      </c>
      <c r="F11" s="20">
        <f>SUM(F10:F10)</f>
        <v>104448.69593333334</v>
      </c>
      <c r="G11" s="21" t="s">
        <v>3</v>
      </c>
      <c r="H11" s="1"/>
    </row>
    <row r="12" spans="1:8" x14ac:dyDescent="0.25">
      <c r="A12" s="1"/>
      <c r="B12" s="41" t="s">
        <v>146</v>
      </c>
      <c r="C12" s="43"/>
      <c r="D12" s="20">
        <f>D11*(1+Prisudvikling2019)</f>
        <v>0</v>
      </c>
      <c r="E12" s="21" t="s">
        <v>3</v>
      </c>
      <c r="F12" s="20">
        <f>F11*(1+Prisudvikling2019)</f>
        <v>106213.87889460666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155</v>
      </c>
      <c r="C3" s="88"/>
      <c r="D3" s="88"/>
      <c r="E3" s="88"/>
      <c r="F3" s="88"/>
      <c r="G3" s="88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25">
      <c r="A10" s="1"/>
      <c r="B10" s="56" t="s">
        <v>154</v>
      </c>
      <c r="C10" s="62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156</v>
      </c>
      <c r="C3" s="88"/>
      <c r="D3" s="88"/>
      <c r="E3" s="88"/>
      <c r="F3" s="88"/>
      <c r="G3" s="1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47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56</v>
      </c>
      <c r="C9" s="7">
        <f>'Fane 3. Omkostninger i ØR2018'!G11</f>
        <v>17676248.452413052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73</v>
      </c>
      <c r="C10" s="7">
        <f>'Fane 4. Korrigeret grundlag'!F22</f>
        <v>0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72</v>
      </c>
      <c r="C11" s="7">
        <f>'Fane 4. Korrigeret grundlag'!F23</f>
        <v>-64697.963251108667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4" t="s">
        <v>77</v>
      </c>
      <c r="C12" s="7">
        <f>'Fane 11. Tillæg'!D12</f>
        <v>0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4" t="s">
        <v>76</v>
      </c>
      <c r="C13" s="11">
        <f>'Fane 11. Tillæg'!F12</f>
        <v>106213.87889460666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4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4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4" t="s">
        <v>42</v>
      </c>
      <c r="C16" s="11">
        <f>SUM(C9:C15)*Prisudvikling2019</f>
        <v>299430.21782015567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4" t="s">
        <v>14</v>
      </c>
      <c r="C17" s="11">
        <f>-SUM(C9:C16)*'Fane 6. Individuelt eff. krav'!G9</f>
        <v>-303958.67955874791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4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-233823.88994836796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4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-60990.816939036144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3" t="s">
        <v>46</v>
      </c>
      <c r="C20" s="17">
        <f>SUM(C9:C19)</f>
        <v>17418421.199430555</v>
      </c>
      <c r="D20" s="18" t="s">
        <v>3</v>
      </c>
      <c r="E20" s="17">
        <f>C20</f>
        <v>17418421.199430555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omk.'!E17</f>
        <v>33696114.569280125</v>
      </c>
      <c r="D22" s="18" t="s">
        <v>3</v>
      </c>
      <c r="E22" s="17">
        <f>C22</f>
        <v>33696114.569280125</v>
      </c>
      <c r="F22" s="18" t="s">
        <v>3</v>
      </c>
      <c r="G22" s="1"/>
    </row>
    <row r="23" spans="1:7" ht="15" customHeight="1" x14ac:dyDescent="0.25">
      <c r="A23" s="1"/>
      <c r="B23" s="41" t="s">
        <v>84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57</v>
      </c>
      <c r="C24" s="17">
        <v>165563.9547802849</v>
      </c>
      <c r="D24" s="18" t="s">
        <v>3</v>
      </c>
      <c r="E24" s="17">
        <f>C24</f>
        <v>165563.9547802849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underdæk'!G13</f>
        <v>0</v>
      </c>
      <c r="D26" s="18" t="s">
        <v>3</v>
      </c>
      <c r="E26" s="17">
        <f>C26</f>
        <v>0</v>
      </c>
      <c r="F26" s="18" t="s">
        <v>3</v>
      </c>
      <c r="G26" s="1"/>
    </row>
    <row r="27" spans="1:7" x14ac:dyDescent="0.25">
      <c r="A27" s="1"/>
      <c r="B27" s="41" t="s">
        <v>109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113</v>
      </c>
      <c r="C28" s="17">
        <f>'Fane 9. Kontrol af ØR2017'!G30</f>
        <v>-566014.39652733784</v>
      </c>
      <c r="D28" s="18" t="s">
        <v>3</v>
      </c>
      <c r="E28" s="17">
        <f>C28</f>
        <v>-566014.39652733784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50714085.326963633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48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59</v>
      </c>
      <c r="C9" s="7">
        <f>'Fane 2.1. Økonomisk ramme 2019'!E20</f>
        <v>17418421.199430555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294371.31827037636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-298823.27125438349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70</v>
      </c>
      <c r="C12" s="11">
        <f>('Fane 2.1. Økonomisk ramme 2019'!C18/GenereltKravDrift-'Fane 2.1. Økonomisk ramme 2019'!C18)*(1+Prisudvikling2019)*GenereltKravDrift</f>
        <v>-233020.00341472545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71</v>
      </c>
      <c r="C13" s="11">
        <f>('Fane 2.1. Økonomisk ramme 2019'!C19/GenereltKravAnlæg-'Fane 2.1. Økonomisk ramme 2019'!C19)*(1+Prisudvikling2019)*GenereltKravAnlæg</f>
        <v>-61481.974158121688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17119467.268873703</v>
      </c>
      <c r="D14" s="18" t="s">
        <v>3</v>
      </c>
      <c r="E14" s="17">
        <f>C14</f>
        <v>17119467.268873703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omk.'!E17*(1+Prisudvikling2019)</f>
        <v>34265578.905500956</v>
      </c>
      <c r="D16" s="18" t="s">
        <v>3</v>
      </c>
      <c r="E16" s="17">
        <f>C16</f>
        <v>34265578.905500956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113</v>
      </c>
      <c r="C20" s="17">
        <f>'Fane 2.1. Økonomisk ramme 2019'!C28*(1+Prisudvikling2019)</f>
        <v>-575580.03982864984</v>
      </c>
      <c r="D20" s="18" t="s">
        <v>3</v>
      </c>
      <c r="E20" s="17">
        <f>C20</f>
        <v>-575580.03982864984</v>
      </c>
      <c r="F20" s="18" t="s">
        <v>3</v>
      </c>
      <c r="G20" s="1"/>
    </row>
    <row r="21" spans="1:7" x14ac:dyDescent="0.25">
      <c r="A21" s="1"/>
      <c r="B21" s="41" t="s">
        <v>60</v>
      </c>
      <c r="C21" s="42"/>
      <c r="D21" s="43"/>
      <c r="E21" s="20">
        <f>SUM(E14,E16,E18,E20:E20)</f>
        <v>50809466.134546004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114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61</v>
      </c>
      <c r="C8" s="7">
        <f>'Fane 2.2. Økonomisk ramme 2020'!E14</f>
        <v>17119467.268873703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289318.99684396555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-293694.54055826989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2.2. Økonomisk ramme 2020'!C12/GenereltKravDrift-'Fane 2.2. Økonomisk ramme 2020'!C12)*(1+Prisudvikling2019)*GenereltKravDrift</f>
        <v>-232218.8806429856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2.2. Økonomisk ramme 2020'!C13/GenereltKravAnlæg-'Fane 2.2. Økonomisk ramme 2020'!C13)*(1+Prisudvikling2019)*GenereltKravAnlæg</f>
        <v>-61977.086651557816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16820895.757864855</v>
      </c>
      <c r="D13" s="18" t="s">
        <v>3</v>
      </c>
      <c r="E13" s="17">
        <f>C13</f>
        <v>16820895.757864855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omk.'!E17*(1+Prisudvikling2019)^2</f>
        <v>34844667.189003915</v>
      </c>
      <c r="D15" s="18" t="s">
        <v>3</v>
      </c>
      <c r="E15" s="17">
        <f>C15</f>
        <v>34844667.189003915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51665562.94686877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115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67</v>
      </c>
      <c r="C8" s="7">
        <f>'Fane 2.3. Økonomisk ramme 2021'!E13</f>
        <v>16820895.757864855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284273.138307916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-288572.37049466249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2.3. Økonomisk ramme 2021'!C11/GenereltKravDrift-'Fane 2.3. Økonomisk ramme 2021'!C11)*(1+Prisudvikling2019)*GenereltKravDrift</f>
        <v>-231420.51213133498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2.3. Økonomisk ramme 2021'!C12/GenereltKravAnlæg-'Fane 2.3. Økonomisk ramme 2021'!C12)*(1+Prisudvikling2019)*GenereltKravAnlæg</f>
        <v>-62476.186271050203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16522699.827275719</v>
      </c>
      <c r="D13" s="18" t="s">
        <v>3</v>
      </c>
      <c r="E13" s="17">
        <f>C13</f>
        <v>16522699.827275719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omk.'!E17*(1+Prisudvikling2019)^3</f>
        <v>35433542.064498082</v>
      </c>
      <c r="D15" s="18" t="s">
        <v>3</v>
      </c>
      <c r="E15" s="17">
        <f>C15</f>
        <v>35433542.064498082</v>
      </c>
      <c r="F15" s="18" t="s">
        <v>3</v>
      </c>
      <c r="G15" s="1"/>
    </row>
    <row r="16" spans="1:7" x14ac:dyDescent="0.25">
      <c r="A16" s="1"/>
      <c r="B16" s="41" t="s">
        <v>83</v>
      </c>
      <c r="C16" s="42"/>
      <c r="D16" s="43"/>
      <c r="E16" s="20">
        <f>SUM(E13,E15)</f>
        <v>51956241.891773805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116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52305064.870074973</v>
      </c>
      <c r="H9" s="22" t="s">
        <v>3</v>
      </c>
      <c r="I9" s="1"/>
    </row>
    <row r="10" spans="1:9" x14ac:dyDescent="0.25">
      <c r="A10" s="1"/>
      <c r="B10" s="50" t="s">
        <v>55</v>
      </c>
      <c r="C10" s="48"/>
      <c r="D10" s="48"/>
      <c r="E10" s="48"/>
      <c r="F10" s="49"/>
      <c r="G10" s="11">
        <v>34628816.41766192</v>
      </c>
      <c r="H10" s="22" t="s">
        <v>3</v>
      </c>
      <c r="I10" s="1"/>
    </row>
    <row r="11" spans="1:9" ht="15" customHeight="1" x14ac:dyDescent="0.25">
      <c r="A11" s="1"/>
      <c r="B11" s="41" t="s">
        <v>56</v>
      </c>
      <c r="C11" s="51"/>
      <c r="D11" s="51"/>
      <c r="E11" s="51"/>
      <c r="F11" s="52"/>
      <c r="G11" s="33">
        <f>G9-G10</f>
        <v>17676248.452413052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133</v>
      </c>
      <c r="C3" s="88"/>
      <c r="D3" s="88"/>
      <c r="E3" s="88"/>
      <c r="F3" s="88"/>
      <c r="G3" s="88"/>
      <c r="H3" s="1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62</v>
      </c>
      <c r="C8" s="94"/>
      <c r="D8" s="94"/>
      <c r="E8" s="94"/>
      <c r="F8" s="94"/>
      <c r="G8" s="95"/>
      <c r="H8" s="1"/>
      <c r="I8" s="1"/>
    </row>
    <row r="9" spans="1:9" x14ac:dyDescent="0.25">
      <c r="A9" s="1"/>
      <c r="B9" s="90" t="s">
        <v>63</v>
      </c>
      <c r="C9" s="91"/>
      <c r="D9" s="91"/>
      <c r="E9" s="92"/>
      <c r="F9" s="11">
        <v>11820821.978148257</v>
      </c>
      <c r="G9" s="22" t="s">
        <v>3</v>
      </c>
      <c r="H9" s="1"/>
      <c r="I9" s="1"/>
    </row>
    <row r="10" spans="1:9" x14ac:dyDescent="0.25">
      <c r="A10" s="1"/>
      <c r="B10" s="90" t="s">
        <v>64</v>
      </c>
      <c r="C10" s="91"/>
      <c r="D10" s="91"/>
      <c r="E10" s="92"/>
      <c r="F10" s="11">
        <v>6891332.6475916887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3" t="s">
        <v>69</v>
      </c>
      <c r="C14" s="94"/>
      <c r="D14" s="94"/>
      <c r="E14" s="94"/>
      <c r="F14" s="94"/>
      <c r="G14" s="95"/>
      <c r="H14" s="1"/>
      <c r="I14" s="1"/>
    </row>
    <row r="15" spans="1:9" x14ac:dyDescent="0.25">
      <c r="A15" s="1"/>
      <c r="B15" s="90" t="s">
        <v>37</v>
      </c>
      <c r="C15" s="91"/>
      <c r="D15" s="91"/>
      <c r="E15" s="92"/>
      <c r="F15" s="11">
        <v>11820821.978148257</v>
      </c>
      <c r="G15" s="22" t="s">
        <v>3</v>
      </c>
      <c r="H15" s="1"/>
      <c r="I15" s="1"/>
    </row>
    <row r="16" spans="1:9" x14ac:dyDescent="0.25">
      <c r="A16" s="1"/>
      <c r="B16" s="90" t="s">
        <v>38</v>
      </c>
      <c r="C16" s="91"/>
      <c r="D16" s="91"/>
      <c r="E16" s="92"/>
      <c r="F16" s="11">
        <v>6827709.9086290486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3" t="s">
        <v>29</v>
      </c>
      <c r="C20" s="94"/>
      <c r="D20" s="94"/>
      <c r="E20" s="94"/>
      <c r="F20" s="94"/>
      <c r="G20" s="95"/>
      <c r="H20" s="1"/>
      <c r="I20" s="1"/>
    </row>
    <row r="21" spans="1:9" ht="15" customHeight="1" x14ac:dyDescent="0.2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25">
      <c r="A22" s="1"/>
      <c r="B22" s="96" t="s">
        <v>65</v>
      </c>
      <c r="C22" s="97"/>
      <c r="D22" s="53">
        <f>F15-F9</f>
        <v>0</v>
      </c>
      <c r="E22" s="22" t="s">
        <v>3</v>
      </c>
      <c r="F22" s="11">
        <f>D22*(1+Prisudvikling2019)</f>
        <v>0</v>
      </c>
      <c r="G22" s="22" t="s">
        <v>3</v>
      </c>
      <c r="H22" s="1"/>
      <c r="I22" s="1"/>
    </row>
    <row r="23" spans="1:9" ht="15" customHeight="1" x14ac:dyDescent="0.25">
      <c r="A23" s="1"/>
      <c r="B23" s="96" t="s">
        <v>66</v>
      </c>
      <c r="C23" s="97"/>
      <c r="D23" s="53">
        <f>F16-F10</f>
        <v>-63622.738962640055</v>
      </c>
      <c r="E23" s="22" t="s">
        <v>3</v>
      </c>
      <c r="F23" s="11">
        <f>D23*(1+Prisudvikling2019)</f>
        <v>-64697.963251108667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89" t="s">
        <v>97</v>
      </c>
      <c r="C26" s="89"/>
      <c r="D26" s="89"/>
      <c r="E26" s="89"/>
      <c r="F26" s="89"/>
      <c r="G26" s="89"/>
      <c r="H26" s="1"/>
      <c r="I26" s="1"/>
    </row>
    <row r="27" spans="1:9" ht="27.75" customHeight="1" x14ac:dyDescent="0.25">
      <c r="A27" s="1"/>
      <c r="B27" s="89" t="s">
        <v>139</v>
      </c>
      <c r="C27" s="89"/>
      <c r="D27" s="89"/>
      <c r="E27" s="89"/>
      <c r="F27" s="89"/>
      <c r="G27" s="8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3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134</v>
      </c>
      <c r="C3" s="86"/>
      <c r="D3" s="86"/>
      <c r="E3" s="86"/>
      <c r="F3" s="86"/>
      <c r="G3" s="1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68</v>
      </c>
      <c r="C8" s="94"/>
      <c r="D8" s="94"/>
      <c r="E8" s="94"/>
      <c r="F8" s="95"/>
      <c r="G8" s="1"/>
      <c r="H8" s="1"/>
    </row>
    <row r="9" spans="1:8" ht="15" customHeight="1" x14ac:dyDescent="0.2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25">
      <c r="A10" s="1"/>
      <c r="B10" s="44" t="s">
        <v>161</v>
      </c>
      <c r="C10" s="48"/>
      <c r="D10" s="49"/>
      <c r="E10" s="11">
        <v>18499762.629999999</v>
      </c>
      <c r="F10" s="22" t="s">
        <v>3</v>
      </c>
      <c r="G10" s="1"/>
      <c r="H10" s="1"/>
    </row>
    <row r="11" spans="1:8" x14ac:dyDescent="0.25">
      <c r="A11" s="1"/>
      <c r="B11" s="44" t="s">
        <v>150</v>
      </c>
      <c r="C11" s="48"/>
      <c r="D11" s="49"/>
      <c r="E11" s="11">
        <v>64579</v>
      </c>
      <c r="F11" s="22" t="s">
        <v>3</v>
      </c>
      <c r="G11" s="1"/>
      <c r="H11" s="1"/>
    </row>
    <row r="12" spans="1:8" ht="26.25" x14ac:dyDescent="0.25">
      <c r="A12" s="1"/>
      <c r="B12" s="44" t="s">
        <v>151</v>
      </c>
      <c r="C12" s="48"/>
      <c r="D12" s="49"/>
      <c r="E12" s="11">
        <v>12563903</v>
      </c>
      <c r="F12" s="22" t="s">
        <v>3</v>
      </c>
      <c r="G12" s="1"/>
      <c r="H12" s="1"/>
    </row>
    <row r="13" spans="1:8" x14ac:dyDescent="0.25">
      <c r="A13" s="1"/>
      <c r="B13" s="44" t="s">
        <v>152</v>
      </c>
      <c r="C13" s="48"/>
      <c r="D13" s="49"/>
      <c r="E13" s="11">
        <v>147238</v>
      </c>
      <c r="F13" s="22" t="s">
        <v>3</v>
      </c>
      <c r="G13" s="1"/>
      <c r="H13" s="1"/>
    </row>
    <row r="14" spans="1:8" x14ac:dyDescent="0.25">
      <c r="A14" s="1"/>
      <c r="B14" s="44" t="s">
        <v>153</v>
      </c>
      <c r="C14" s="48"/>
      <c r="D14" s="49"/>
      <c r="E14" s="11">
        <v>848336</v>
      </c>
      <c r="F14" s="22" t="s">
        <v>3</v>
      </c>
      <c r="G14" s="1"/>
      <c r="H14" s="1"/>
    </row>
    <row r="15" spans="1:8" x14ac:dyDescent="0.25">
      <c r="A15" s="1"/>
      <c r="B15" s="44" t="s">
        <v>162</v>
      </c>
      <c r="C15" s="48"/>
      <c r="D15" s="49"/>
      <c r="E15" s="11">
        <v>461602</v>
      </c>
      <c r="F15" s="22" t="s">
        <v>3</v>
      </c>
      <c r="G15" s="1"/>
      <c r="H15" s="1"/>
    </row>
    <row r="16" spans="1:8" x14ac:dyDescent="0.25">
      <c r="A16" s="1"/>
      <c r="B16" s="41" t="s">
        <v>140</v>
      </c>
      <c r="C16" s="42"/>
      <c r="D16" s="43"/>
      <c r="E16" s="20">
        <f>SUM(E10:E15)</f>
        <v>32585420.629999999</v>
      </c>
      <c r="F16" s="21" t="s">
        <v>3</v>
      </c>
      <c r="G16" s="1"/>
      <c r="H16" s="1"/>
    </row>
    <row r="17" spans="1:8" x14ac:dyDescent="0.25">
      <c r="A17" s="1"/>
      <c r="B17" s="41" t="s">
        <v>141</v>
      </c>
      <c r="C17" s="42"/>
      <c r="D17" s="43"/>
      <c r="E17" s="20">
        <f>E16*(1+Prisudvikling2019)^2</f>
        <v>33696114.569280125</v>
      </c>
      <c r="F17" s="21" t="s">
        <v>3</v>
      </c>
      <c r="G17" s="1"/>
      <c r="H17" s="1"/>
    </row>
    <row r="18" spans="1:8" x14ac:dyDescent="0.25">
      <c r="A18" s="1"/>
      <c r="B18" s="24"/>
      <c r="C18" s="23"/>
      <c r="D18" s="23"/>
      <c r="E18" s="23"/>
      <c r="F18" s="23"/>
      <c r="G18" s="1"/>
      <c r="H18" s="1"/>
    </row>
    <row r="19" spans="1:8" x14ac:dyDescent="0.25">
      <c r="A19" s="1"/>
      <c r="B19" s="23"/>
      <c r="C19" s="23"/>
      <c r="D19" s="23"/>
      <c r="E19" s="23"/>
      <c r="F19" s="23"/>
      <c r="G19" s="1"/>
      <c r="H19" s="1"/>
    </row>
    <row r="20" spans="1:8" x14ac:dyDescent="0.25">
      <c r="A20" s="1"/>
      <c r="B20" s="1"/>
      <c r="C20" s="1"/>
      <c r="D20" s="1"/>
      <c r="E20" s="23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117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14</v>
      </c>
      <c r="C9" s="91"/>
      <c r="D9" s="91"/>
      <c r="E9" s="91"/>
      <c r="F9" s="92"/>
      <c r="G9" s="54">
        <v>1.6870477704504262E-2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98" t="s">
        <v>80</v>
      </c>
      <c r="C12" s="98"/>
      <c r="D12" s="98"/>
      <c r="E12" s="98"/>
      <c r="F12" s="98"/>
      <c r="G12" s="98"/>
      <c r="H12" s="98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2018-09-27T09:26:18Z</dcterms:modified>
</cp:coreProperties>
</file>