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externalReferences>
    <externalReference r:id="rId17"/>
  </externalReferences>
  <definedNames>
    <definedName name="GenereltKrav">'[1]Fane 12. Nøgletal'!$F$16</definedName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23" i="2" l="1"/>
  <c r="C24" i="2" s="1"/>
  <c r="E24" i="2" s="1"/>
  <c r="E28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32" i="2" s="1"/>
  <c r="G12" i="32"/>
  <c r="C20" i="15" l="1"/>
  <c r="E20" i="15" s="1"/>
  <c r="E32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3" i="20" l="1"/>
  <c r="F11" i="21"/>
  <c r="F12" i="21" s="1"/>
  <c r="C15" i="2" s="1"/>
  <c r="D11" i="21"/>
  <c r="D12" i="21" s="1"/>
  <c r="C14" i="2" s="1"/>
  <c r="C9" i="2"/>
  <c r="E14" i="19"/>
  <c r="E15" i="19" s="1"/>
  <c r="C26" i="2" l="1"/>
  <c r="E26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4" i="20" l="1"/>
  <c r="C12" i="2" s="1"/>
  <c r="C18" i="2" s="1"/>
  <c r="C12" i="15" l="1"/>
  <c r="C11" i="22" s="1"/>
  <c r="C11" i="23" s="1"/>
  <c r="E11" i="11" l="1"/>
  <c r="F10" i="20" s="1"/>
  <c r="F13" i="20" s="1"/>
  <c r="F14" i="20" s="1"/>
  <c r="C13" i="2" s="1"/>
  <c r="C19" i="2" s="1"/>
  <c r="C30" i="2"/>
  <c r="E30" i="2" s="1"/>
  <c r="C13" i="15" l="1"/>
  <c r="C12" i="22" s="1"/>
  <c r="C12" i="23" s="1"/>
  <c r="C16" i="2"/>
  <c r="C17" i="2" s="1"/>
  <c r="C20" i="2" l="1"/>
  <c r="E20" i="2" s="1"/>
  <c r="E33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<sst xmlns="http://schemas.openxmlformats.org/spreadsheetml/2006/main" count="322" uniqueCount="164">
  <si>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</si>
  <si>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</si>
  <si>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</si>
  <si>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</si>
  <si>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</si>
  <si>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</si>
  <si>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</si>
  <si>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</si>
  <si>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</si>
  <si>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</si>
  <si>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</si>
  <si>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</si>
  <si>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</si>
  <si>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</si>
  <si>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</si>
  <si>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</si>
  <si>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</si>
  <si>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</si>
  <si>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</si>
  <si>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</si>
  <si>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</si>
  <si>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</si>
  <si>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</si>
  <si>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</si>
  <si>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</si>
  <si>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</si>
  <si>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</si>
  <si>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</si>
  <si>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</si>
  <si>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</si>
  <si>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</si>
  <si>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</si>
  <si>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</si>
  <si>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</si>
  <si>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</si>
  <si>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</si>
  <si>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</si>
  <si>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</si>
  <si>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</si>
  <si>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</si>
  <si>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</si>
  <si>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</si>
  <si>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</si>
  <si>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</si>
  <si>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</si>
  <si>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</si>
  <si>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</si>
  <si>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</si>
  <si>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</si>
  <si>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</si>
  <si>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</si>
  <si>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</si>
  <si>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</si>
  <si>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</si>
  <si>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</si>
  <si>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</si>
  <si>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</si>
  <si>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</si>
  <si>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</si>
  <si>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</si>
  <si>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</si>
  <si>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</si>
  <si>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</si>
  <si>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</si>
  <si>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</si>
  <si>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</si>
  <si>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</si>
  <si>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</si>
  <si>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</si>
  <si>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</si>
  <si>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</si>
  <si>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</si>
  <si>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</si>
  <si>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</si>
  <si>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</si>
  <si>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</si>
  <si>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</si>
  <si>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</si>
  <si>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</si>
  <si>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</si>
  <si>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</si>
  <si>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</si>
  <si>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</si>
  <si>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</si>
  <si>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</si>
  <si>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</si>
  <si>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</si>
  <si>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</si>
  <si>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</si>
  <si>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</si>
  <si>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</si>
  <si>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</si>
  <si>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</si>
  <si>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</si>
  <si>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</si>
  <si>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</si>
  <si>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</si>
  <si>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</si>
  <si>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</si>
  <si>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</si>
  <si>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</si>
  <si>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</si>
  <si>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</si>
  <si>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</si>
  <si>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</si>
  <si>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</si>
  <si>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</si>
  <si>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</si>
  <si>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</si>
  <si>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</si>
  <si>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</si>
  <si>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</si>
  <si>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</si>
  <si>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</si>
  <si>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</si>
  <si>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</si>
  <si>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</si>
  <si>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</si>
  <si>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</si>
  <si>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</si>
  <si>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</si>
  <si>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</si>
  <si>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</si>
  <si>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</si>
  <si>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</si>
  <si>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</si>
  <si>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</si>
  <si>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</si>
  <si>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</si>
  <si>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</si>
  <si>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</si>
  <si>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</si>
  <si>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</si>
  <si>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</si>
  <si>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</si>
  <si>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</si>
  <si>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</si>
  <si>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</si>
  <si>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</si>
  <si>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</si>
  <si>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</si>
  <si>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</si>
  <si>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</si>
  <si>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</si>
  <si>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</si>
  <si>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</si>
  <si>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</si>
  <si>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</si>
  <si>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</si>
  <si>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</si>
  <si>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Femern Bælt-projektet /Banedanmark</t>
  </si>
  <si>
    <t>Omfartsvejen / Vejdirektoratet</t>
  </si>
  <si>
    <t>Afgift til Forsyningsekretariatet</t>
  </si>
  <si>
    <t>Skatter og afgifter</t>
  </si>
  <si>
    <t>Selskabsskatter</t>
  </si>
  <si>
    <t>Ingen anlægsprojekter</t>
  </si>
  <si>
    <t>Ingen bortfald eller nedsættelse</t>
  </si>
  <si>
    <t>Afgift for ledningsført vand</t>
  </si>
  <si>
    <t>Fane 12: Bortfald eller nedsættelse af omkostninger til mål, medfinansiering eller udvidelse</t>
  </si>
  <si>
    <t>Fane 13: Nøgletal</t>
  </si>
  <si>
    <t>Engangstillæg</t>
  </si>
  <si>
    <t>Tillæg som bortfalder i den økonomiske ramme for 2020</t>
  </si>
  <si>
    <t>Effektiviseringskrav</t>
  </si>
  <si>
    <t>Engangstillæg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</si>
</sst>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Drikkevand/St&#248;vring%20Vandv&#230;rk%20a.m.b.a.%20(V176)/&#216;R2019/Bilag%20A%20-%20St&#248;vring%20Vandv&#230;rk%20a.m.b.a.%20(V176)%20-%20&#216;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Forside"/>
      <sheetName val="Fane 2.1. Økonomisk ramme 2019"/>
      <sheetName val="Fane 2.2. Økonomisk ramme 2020"/>
      <sheetName val="Fane 2.3. Økonomisk ramme 2021"/>
      <sheetName val="Fane 2.4. Økonomisk ramme 2022"/>
      <sheetName val="Fane 3. Omkostninger i ØR2018"/>
      <sheetName val="Fane 4. Korrigeret grundlag"/>
      <sheetName val="Fane 5. Ikke-påvirkelige omk."/>
      <sheetName val="Fane 6. Korrektion prisloft 16"/>
      <sheetName val="Fane 7. Hist. over el. underdæk"/>
      <sheetName val="Fane 8. Kontrol af ØR2017"/>
      <sheetName val="Fane 9. Anlægsprojekter"/>
      <sheetName val="Fane 10. Tillæg"/>
      <sheetName val="Fane 11. Bortfald"/>
      <sheetName val="Fane 12. Nøgle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F16">
            <v>1.7000000000000001E-2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7" t="s">
        <v>137</v>
      </c>
      <c r="E8" s="87"/>
      <c r="F8" s="87"/>
      <c r="G8" s="8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34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33</v>
      </c>
      <c r="D14" s="79" t="s">
        <v>120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119</v>
      </c>
      <c r="D15" s="79" t="s">
        <v>122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121</v>
      </c>
      <c r="D16" s="79" t="s">
        <v>138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7</v>
      </c>
      <c r="D17" s="70" t="s">
        <v>123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8</v>
      </c>
      <c r="D18" s="70" t="s">
        <v>131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9</v>
      </c>
      <c r="D19" s="70" t="s">
        <v>124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10</v>
      </c>
      <c r="D20" s="73" t="s">
        <v>132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11</v>
      </c>
      <c r="D21" s="73" t="s">
        <v>125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83" t="s">
        <v>127</v>
      </c>
      <c r="E22" s="84"/>
      <c r="F22" s="84"/>
      <c r="G22" s="85"/>
      <c r="H22" s="1"/>
      <c r="I22" s="1"/>
    </row>
    <row r="23" spans="1:9" x14ac:dyDescent="0.25">
      <c r="A23" s="1"/>
      <c r="B23" s="1"/>
      <c r="C23" s="6" t="s">
        <v>13</v>
      </c>
      <c r="D23" s="76" t="s">
        <v>126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27</v>
      </c>
      <c r="D24" s="76" t="s">
        <v>128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31</v>
      </c>
      <c r="D25" s="76" t="s">
        <v>30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32</v>
      </c>
      <c r="D26" s="67" t="s">
        <v>129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130</v>
      </c>
      <c r="D27" s="67" t="s">
        <v>58</v>
      </c>
      <c r="E27" s="68"/>
      <c r="F27" s="68"/>
      <c r="G27" s="6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296575.53317579784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14828776.658789892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107479.64077647327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11810949.535876183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12026468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9662356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2364112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2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1182056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41405707.471173473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42030673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-624965.5288265273</v>
      </c>
      <c r="F12" s="25" t="s">
        <v>3</v>
      </c>
      <c r="G12" s="17">
        <f>E12</f>
        <v>-624965.5288265273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-3535540.3888888876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2634181.7871964648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-901358.60169242276</v>
      </c>
      <c r="F19" s="25" t="s">
        <v>3</v>
      </c>
      <c r="G19" s="17">
        <f>E19</f>
        <v>-901358.60169242276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-917132.3772220402</v>
      </c>
      <c r="F20" s="25" t="s">
        <v>3</v>
      </c>
      <c r="G20" s="17">
        <f>E20</f>
        <v>-917132.3772220402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-1542097.9060485675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-771048.95302428375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-771048.95302428375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-797330.62692797766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4" t="s">
        <v>155</v>
      </c>
      <c r="C10" s="65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5" t="s">
        <v>144</v>
      </c>
      <c r="C11" s="96"/>
      <c r="D11" s="97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60" t="s">
        <v>150</v>
      </c>
      <c r="C11" s="61"/>
      <c r="D11" s="53">
        <v>0</v>
      </c>
      <c r="E11" s="22" t="s">
        <v>3</v>
      </c>
      <c r="F11" s="11">
        <v>8358</v>
      </c>
      <c r="G11" s="22" t="s">
        <v>3</v>
      </c>
      <c r="H11" s="1"/>
    </row>
    <row r="12" spans="1:8" x14ac:dyDescent="0.25">
      <c r="A12" s="1"/>
      <c r="B12" s="60" t="s">
        <v>151</v>
      </c>
      <c r="C12" s="61"/>
      <c r="D12" s="53">
        <v>0</v>
      </c>
      <c r="E12" s="22" t="s">
        <v>3</v>
      </c>
      <c r="F12" s="11">
        <v>1941</v>
      </c>
      <c r="G12" s="22" t="s">
        <v>3</v>
      </c>
      <c r="H12" s="1"/>
    </row>
    <row r="13" spans="1:8" x14ac:dyDescent="0.25">
      <c r="A13" s="1"/>
      <c r="B13" s="41" t="s">
        <v>145</v>
      </c>
      <c r="C13" s="43"/>
      <c r="D13" s="20">
        <f>SUM(D10:D12)</f>
        <v>0</v>
      </c>
      <c r="E13" s="21" t="s">
        <v>3</v>
      </c>
      <c r="F13" s="20">
        <f>SUM(F10:F12)</f>
        <v>10299</v>
      </c>
      <c r="G13" s="21" t="s">
        <v>3</v>
      </c>
      <c r="H13" s="1"/>
    </row>
    <row r="14" spans="1:8" x14ac:dyDescent="0.25">
      <c r="A14" s="1"/>
      <c r="B14" s="41" t="s">
        <v>146</v>
      </c>
      <c r="C14" s="43"/>
      <c r="D14" s="20">
        <f>D13*(1+Prisudvikling2019)</f>
        <v>0</v>
      </c>
      <c r="E14" s="21" t="s">
        <v>3</v>
      </c>
      <c r="F14" s="20">
        <f>F13*(1+Prisudvikling2019)</f>
        <v>10473.053099999999</v>
      </c>
      <c r="G14" s="21" t="s">
        <v>3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158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156</v>
      </c>
      <c r="C10" s="66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159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26118785.660408013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-172115.46687329558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180957.22346375856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3" t="s">
        <v>77</v>
      </c>
      <c r="C12" s="7">
        <f>'Fane 11. Tillæg'!D14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3" t="s">
        <v>76</v>
      </c>
      <c r="C13" s="11">
        <f>'Fane 11. Tillæg'!F14</f>
        <v>10473.053099999999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3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3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3" t="s">
        <v>42</v>
      </c>
      <c r="C16" s="11">
        <f>SUM(C9:C15)*Prisudvikling2019</f>
        <v>441733.89794466423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3" t="s">
        <v>14</v>
      </c>
      <c r="C17" s="11">
        <f>-SUM(C9:C16)*'Fane 6. Individuelt eff. krav'!G9</f>
        <v>-41328.49505916021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3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-292055.42212747032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3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-105234.53866571182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2" t="s">
        <v>46</v>
      </c>
      <c r="C20" s="17">
        <f>SUM(C9:C19)</f>
        <v>26141215.912190799</v>
      </c>
      <c r="D20" s="18" t="s">
        <v>3</v>
      </c>
      <c r="E20" s="17">
        <f>C20</f>
        <v>26141215.912190799</v>
      </c>
      <c r="F20" s="18" t="s">
        <v>3</v>
      </c>
      <c r="G20" s="1"/>
    </row>
    <row r="21" spans="1:7" ht="17.100000000000001" customHeight="1" x14ac:dyDescent="0.25">
      <c r="A21" s="1"/>
      <c r="B21" s="41" t="s">
        <v>160</v>
      </c>
      <c r="C21" s="42"/>
      <c r="D21" s="42"/>
      <c r="E21" s="42"/>
      <c r="F21" s="43"/>
      <c r="G21" s="1"/>
    </row>
    <row r="22" spans="1:7" ht="17.100000000000001" customHeight="1" x14ac:dyDescent="0.25">
      <c r="A22" s="1"/>
      <c r="B22" s="45" t="s">
        <v>161</v>
      </c>
      <c r="C22" s="11">
        <v>281487</v>
      </c>
      <c r="D22" s="8" t="s">
        <v>3</v>
      </c>
      <c r="E22" s="12"/>
      <c r="F22" s="13"/>
      <c r="G22" s="1"/>
    </row>
    <row r="23" spans="1:7" ht="17.100000000000001" customHeight="1" x14ac:dyDescent="0.25">
      <c r="A23" s="1"/>
      <c r="B23" s="45" t="s">
        <v>162</v>
      </c>
      <c r="C23" s="11">
        <f>-C22*(GenereltKravDrift+'Fane 6. Individuelt eff. krav'!G9)</f>
        <v>-6067.418953436395</v>
      </c>
      <c r="D23" s="8" t="s">
        <v>3</v>
      </c>
      <c r="E23" s="12"/>
      <c r="F23" s="13"/>
      <c r="G23" s="1"/>
    </row>
    <row r="24" spans="1:7" ht="17.100000000000001" customHeight="1" x14ac:dyDescent="0.25">
      <c r="A24" s="1"/>
      <c r="B24" s="29" t="s">
        <v>163</v>
      </c>
      <c r="C24" s="17">
        <f>SUM(C22:C23)</f>
        <v>275419.58104656363</v>
      </c>
      <c r="D24" s="18" t="s">
        <v>3</v>
      </c>
      <c r="E24" s="17">
        <f>C24</f>
        <v>275419.58104656363</v>
      </c>
      <c r="F24" s="18" t="s">
        <v>3</v>
      </c>
      <c r="G24" s="1"/>
    </row>
    <row r="25" spans="1:7" ht="15" customHeight="1" x14ac:dyDescent="0.25">
      <c r="A25" s="1"/>
      <c r="B25" s="41" t="s">
        <v>23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23</v>
      </c>
      <c r="C26" s="17">
        <f>'Fane 5. Ikke-påvirkelige omk.'!E15</f>
        <v>16179369.635539036</v>
      </c>
      <c r="D26" s="18" t="s">
        <v>3</v>
      </c>
      <c r="E26" s="17">
        <f>C26</f>
        <v>16179369.635539036</v>
      </c>
      <c r="F26" s="18" t="s">
        <v>3</v>
      </c>
      <c r="G26" s="1"/>
    </row>
    <row r="27" spans="1:7" ht="15" customHeight="1" x14ac:dyDescent="0.25">
      <c r="A27" s="1"/>
      <c r="B27" s="41" t="s">
        <v>84</v>
      </c>
      <c r="C27" s="42"/>
      <c r="D27" s="42"/>
      <c r="E27" s="42"/>
      <c r="F27" s="43"/>
      <c r="G27" s="1"/>
    </row>
    <row r="28" spans="1:7" ht="28.5" customHeight="1" x14ac:dyDescent="0.25">
      <c r="A28" s="1"/>
      <c r="B28" s="29" t="s">
        <v>57</v>
      </c>
      <c r="C28" s="17">
        <v>67746.181842512771</v>
      </c>
      <c r="D28" s="18" t="s">
        <v>3</v>
      </c>
      <c r="E28" s="17">
        <f>C28</f>
        <v>67746.181842512771</v>
      </c>
      <c r="F28" s="18" t="s">
        <v>3</v>
      </c>
      <c r="G28" s="1"/>
    </row>
    <row r="29" spans="1:7" x14ac:dyDescent="0.25">
      <c r="A29" s="1"/>
      <c r="B29" s="41" t="s">
        <v>16</v>
      </c>
      <c r="C29" s="42"/>
      <c r="D29" s="42"/>
      <c r="E29" s="42"/>
      <c r="F29" s="43"/>
      <c r="G29" s="1"/>
    </row>
    <row r="30" spans="1:7" ht="15" customHeight="1" x14ac:dyDescent="0.25">
      <c r="A30" s="1"/>
      <c r="B30" s="29" t="s">
        <v>25</v>
      </c>
      <c r="C30" s="17">
        <f>'Fane 8. Hist. over el. underdæk'!G13</f>
        <v>1182056</v>
      </c>
      <c r="D30" s="18" t="s">
        <v>3</v>
      </c>
      <c r="E30" s="17">
        <f>C30</f>
        <v>1182056</v>
      </c>
      <c r="F30" s="18" t="s">
        <v>3</v>
      </c>
      <c r="G30" s="1"/>
    </row>
    <row r="31" spans="1:7" x14ac:dyDescent="0.25">
      <c r="A31" s="1"/>
      <c r="B31" s="41" t="s">
        <v>109</v>
      </c>
      <c r="C31" s="42"/>
      <c r="D31" s="42"/>
      <c r="E31" s="42"/>
      <c r="F31" s="43"/>
      <c r="G31" s="1"/>
    </row>
    <row r="32" spans="1:7" ht="15" customHeight="1" x14ac:dyDescent="0.25">
      <c r="A32" s="1"/>
      <c r="B32" s="29" t="s">
        <v>113</v>
      </c>
      <c r="C32" s="17">
        <f>'Fane 9. Kontrol af ØR2017'!G30</f>
        <v>-797330.62692797766</v>
      </c>
      <c r="D32" s="18" t="s">
        <v>3</v>
      </c>
      <c r="E32" s="17">
        <f>C32</f>
        <v>-797330.62692797766</v>
      </c>
      <c r="F32" s="18" t="s">
        <v>3</v>
      </c>
      <c r="G32" s="1"/>
    </row>
    <row r="33" spans="1:7" x14ac:dyDescent="0.25">
      <c r="A33" s="1"/>
      <c r="B33" s="41" t="s">
        <v>36</v>
      </c>
      <c r="C33" s="42"/>
      <c r="D33" s="43"/>
      <c r="E33" s="20">
        <f>SUM(E20,E24,E26,E28,E30,E32:E32)</f>
        <v>43048476.683690935</v>
      </c>
      <c r="F33" s="21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26141215.912190799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441786.54891602445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-41333.42106873259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-291051.33558619604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-106081.98924855063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26144535.715203341</v>
      </c>
      <c r="D14" s="18" t="s">
        <v>3</v>
      </c>
      <c r="E14" s="17">
        <f>C14</f>
        <v>26144535.715203341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16452800.982379645</v>
      </c>
      <c r="D16" s="18" t="s">
        <v>3</v>
      </c>
      <c r="E16" s="17">
        <f>C16</f>
        <v>16452800.982379645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1182056</v>
      </c>
      <c r="D18" s="18" t="s">
        <v>3</v>
      </c>
      <c r="E18" s="17">
        <f>C18</f>
        <v>1182056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2019'!C32*(1+Prisudvikling2019)</f>
        <v>-810805.51452306041</v>
      </c>
      <c r="D20" s="18" t="s">
        <v>3</v>
      </c>
      <c r="E20" s="17">
        <f>C20</f>
        <v>-810805.51452306041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42968587.183059931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26144535.715203341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441842.65358693642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-41338.670205430884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-290050.70109445072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-106936.26432550952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26148052.733164884</v>
      </c>
      <c r="D13" s="18" t="s">
        <v>3</v>
      </c>
      <c r="E13" s="17">
        <f>C13</f>
        <v>26148052.733164884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16730853.318981858</v>
      </c>
      <c r="D15" s="18" t="s">
        <v>3</v>
      </c>
      <c r="E15" s="17">
        <f>C15</f>
        <v>16730853.318981858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42878906.05214674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26148052.733164884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441902.09119048651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-41344.231170337764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-289053.50678408798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-107797.41885403491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26151759.667546909</v>
      </c>
      <c r="D13" s="18" t="s">
        <v>3</v>
      </c>
      <c r="E13" s="17">
        <f>C13</f>
        <v>26151759.667546909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17013604.740072649</v>
      </c>
      <c r="D15" s="18" t="s">
        <v>3</v>
      </c>
      <c r="E15" s="17">
        <f>C15</f>
        <v>17013604.740072649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43165364.407619558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39911281.187118307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13792495.526710294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26118785.660408013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14941645.85155252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11769938.010773305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14772390.795132719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11947887.881423082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-169255.05641980097</v>
      </c>
      <c r="E22" s="22" t="s">
        <v>3</v>
      </c>
      <c r="F22" s="11">
        <f>D22*(1+Prisudvikling2019)</f>
        <v>-172115.46687329558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177949.87064977735</v>
      </c>
      <c r="E23" s="22" t="s">
        <v>3</v>
      </c>
      <c r="F23" s="11">
        <f>D23*(1+Prisudvikling2019)</f>
        <v>180957.22346375856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157</v>
      </c>
      <c r="C10" s="48"/>
      <c r="D10" s="49"/>
      <c r="E10" s="11">
        <v>13796645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51769</v>
      </c>
      <c r="F11" s="22" t="s">
        <v>3</v>
      </c>
      <c r="G11" s="1"/>
      <c r="H11" s="1"/>
    </row>
    <row r="12" spans="1:8" x14ac:dyDescent="0.25">
      <c r="A12" s="1"/>
      <c r="B12" s="44" t="s">
        <v>153</v>
      </c>
      <c r="C12" s="48"/>
      <c r="D12" s="49"/>
      <c r="E12" s="11">
        <v>52322</v>
      </c>
      <c r="F12" s="22" t="s">
        <v>3</v>
      </c>
      <c r="G12" s="1"/>
      <c r="H12" s="1"/>
    </row>
    <row r="13" spans="1:8" x14ac:dyDescent="0.25">
      <c r="A13" s="1"/>
      <c r="B13" s="44" t="s">
        <v>154</v>
      </c>
      <c r="C13" s="48"/>
      <c r="D13" s="49"/>
      <c r="E13" s="11">
        <v>1745328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15646064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16179369.635539036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1.5548815875560662E-3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2018-09-27T09:28:07Z</dcterms:modified>
</cp:coreProperties>
</file>