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<sst xmlns="http://schemas.openxmlformats.org/spreadsheetml/2006/main" count="362" uniqueCount="160">
  <si>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</si>
  <si>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</si>
  <si>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</si>
  <si>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</si>
  <si>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</si>
  <si>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</si>
  <si>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</si>
  <si>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</si>
  <si>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</si>
  <si>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</si>
  <si>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</si>
  <si>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</si>
  <si>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</si>
  <si>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</si>
  <si>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</si>
  <si>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</si>
  <si>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</si>
  <si>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</si>
  <si>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</si>
  <si>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</si>
  <si>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</si>
  <si>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</si>
  <si>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</si>
  <si>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</si>
  <si>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</si>
  <si>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</si>
  <si>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</si>
  <si>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</si>
  <si>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</si>
  <si>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</si>
  <si>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</si>
  <si>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</si>
  <si>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</si>
  <si>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</si>
  <si>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</si>
  <si>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</si>
  <si>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</si>
  <si>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</si>
  <si>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</si>
  <si>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</si>
  <si>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</si>
  <si>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</si>
  <si>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</si>
  <si>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</si>
  <si>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</si>
  <si>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</si>
  <si>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</si>
  <si>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</si>
  <si>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</si>
  <si>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</si>
  <si>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</si>
  <si>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</si>
  <si>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</si>
  <si>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</si>
  <si>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</si>
  <si>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</si>
  <si>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</si>
  <si>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</si>
  <si>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</si>
  <si>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</si>
  <si>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</si>
  <si>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</si>
  <si>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</si>
  <si>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</si>
  <si>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</si>
  <si>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</si>
  <si>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</si>
  <si>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</si>
  <si>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</si>
  <si>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</si>
  <si>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</si>
  <si>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</si>
  <si>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</si>
  <si>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</si>
  <si>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</si>
  <si>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</si>
  <si>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</si>
  <si>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</si>
  <si>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</si>
  <si>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</si>
  <si>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</si>
  <si>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</si>
  <si>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</si>
  <si>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</si>
  <si>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</si>
  <si>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</si>
  <si>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</si>
  <si>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</si>
  <si>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</si>
  <si>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</si>
  <si>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</si>
  <si>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</si>
  <si>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</si>
  <si>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</si>
  <si>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</si>
  <si>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</si>
  <si>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</si>
  <si>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</si>
  <si>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</si>
  <si>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</si>
  <si>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</si>
  <si>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</si>
  <si>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</si>
  <si>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</si>
  <si>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</si>
  <si>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</si>
  <si>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</si>
  <si>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</si>
  <si>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</si>
  <si>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</si>
  <si>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</si>
  <si>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</si>
  <si>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</si>
  <si>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</si>
  <si>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</si>
  <si>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</si>
  <si>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</si>
  <si>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</si>
  <si>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</si>
  <si>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</si>
  <si>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</si>
  <si>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</si>
  <si>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</si>
  <si>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</si>
  <si>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</si>
  <si>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</si>
  <si>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</si>
  <si>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</si>
  <si>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</si>
  <si>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</si>
  <si>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</si>
  <si>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</si>
  <si>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</si>
  <si>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</si>
  <si>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</si>
  <si>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</si>
  <si>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</si>
  <si>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</si>
  <si>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</si>
  <si>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</si>
  <si>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</si>
  <si>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</si>
  <si>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</si>
  <si>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</si>
  <si>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</si>
  <si>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</si>
  <si>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</si>
  <si>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</si>
  <si>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</si>
  <si>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</si>
  <si>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Undersøgelsesudgifter i forbindelse med fusion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</si>
  <si>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</si>
  <si>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</si>
  <si>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</si>
  <si>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Opgjort over- eller underdækning per. 31. december 2015</t>
  </si>
  <si>
    <t>Tillæg/fradrag for historisk over- eller underdækning til og med 2015</t>
  </si>
  <si>
    <t>Heraf beløb indregnet i prislofterne/de økonomiske rammer for 2015-2018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</si>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</sst>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100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30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29</v>
      </c>
      <c r="D14" s="75" t="s">
        <v>93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91</v>
      </c>
      <c r="D15" s="75" t="s">
        <v>94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92</v>
      </c>
      <c r="D16" s="75" t="s">
        <v>129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95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97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126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98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127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101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23</v>
      </c>
      <c r="D24" s="81" t="s">
        <v>26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27</v>
      </c>
      <c r="D25" s="78" t="s">
        <v>99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28</v>
      </c>
      <c r="D26" s="78" t="s">
        <v>62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155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154</v>
      </c>
      <c r="C9" s="46"/>
      <c r="D9" s="46"/>
      <c r="E9" s="46"/>
      <c r="F9" s="47"/>
      <c r="G9" s="11">
        <v>52156</v>
      </c>
      <c r="H9" s="22" t="s">
        <v>3</v>
      </c>
      <c r="I9" s="1"/>
    </row>
    <row r="10" spans="1:9" x14ac:dyDescent="0.25">
      <c r="A10" s="1"/>
      <c r="B10" s="45" t="s">
        <v>156</v>
      </c>
      <c r="C10" s="46"/>
      <c r="D10" s="46"/>
      <c r="E10" s="46"/>
      <c r="F10" s="47"/>
      <c r="G10" s="11">
        <v>-108323.5</v>
      </c>
      <c r="H10" s="22" t="s">
        <v>3</v>
      </c>
      <c r="I10" s="1"/>
    </row>
    <row r="11" spans="1:9" x14ac:dyDescent="0.25">
      <c r="A11" s="1"/>
      <c r="B11" s="51" t="s">
        <v>18</v>
      </c>
      <c r="C11" s="52"/>
      <c r="D11" s="52"/>
      <c r="E11" s="52"/>
      <c r="F11" s="53"/>
      <c r="G11" s="31">
        <f>G9-G10</f>
        <v>160479.5</v>
      </c>
      <c r="H11" s="26" t="s">
        <v>3</v>
      </c>
      <c r="I11" s="1"/>
    </row>
    <row r="12" spans="1:9" x14ac:dyDescent="0.25">
      <c r="A12" s="1"/>
      <c r="B12" s="45" t="s">
        <v>17</v>
      </c>
      <c r="C12" s="46"/>
      <c r="D12" s="46"/>
      <c r="E12" s="46"/>
      <c r="F12" s="47"/>
      <c r="G12" s="11">
        <v>2</v>
      </c>
      <c r="H12" s="22" t="s">
        <v>40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80239.75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109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102</v>
      </c>
      <c r="C9" s="91"/>
      <c r="D9" s="92"/>
      <c r="E9" s="11">
        <v>3669561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103</v>
      </c>
      <c r="C10" s="91"/>
      <c r="D10" s="92"/>
      <c r="E10" s="11">
        <v>4375100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110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104</v>
      </c>
      <c r="C12" s="97"/>
      <c r="D12" s="98"/>
      <c r="E12" s="17">
        <f>E9-(E10-E11)</f>
        <v>-705539</v>
      </c>
      <c r="F12" s="25" t="s">
        <v>3</v>
      </c>
      <c r="G12" s="17">
        <f>E12</f>
        <v>-705539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114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111</v>
      </c>
      <c r="C18" s="94"/>
      <c r="D18" s="95"/>
      <c r="E18" s="11">
        <f>IF(E12&lt;0,E12,0)</f>
        <v>-705539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112</v>
      </c>
      <c r="C19" s="94"/>
      <c r="D19" s="95"/>
      <c r="E19" s="11">
        <v>4</v>
      </c>
      <c r="F19" s="22" t="s">
        <v>40</v>
      </c>
      <c r="G19" s="14"/>
      <c r="H19" s="28"/>
      <c r="I19" s="1"/>
    </row>
    <row r="20" spans="1:9" x14ac:dyDescent="0.25">
      <c r="A20" s="1"/>
      <c r="B20" s="93" t="s">
        <v>113</v>
      </c>
      <c r="C20" s="94"/>
      <c r="D20" s="95"/>
      <c r="E20" s="11">
        <f>E18/E19</f>
        <v>-176384.75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115</v>
      </c>
      <c r="C21" s="88"/>
      <c r="D21" s="88"/>
      <c r="E21" s="88"/>
      <c r="F21" s="89"/>
      <c r="G21" s="20">
        <f>E20</f>
        <v>-176384.75</v>
      </c>
      <c r="H21" s="21" t="s">
        <v>3</v>
      </c>
      <c r="I21" s="1"/>
    </row>
    <row r="22" spans="1:9" x14ac:dyDescent="0.25">
      <c r="A22" s="1"/>
      <c r="B22" s="87" t="s">
        <v>116</v>
      </c>
      <c r="C22" s="88"/>
      <c r="D22" s="88"/>
      <c r="E22" s="88"/>
      <c r="F22" s="89"/>
      <c r="G22" s="20">
        <f>G21*(1+Prisudvikling2019)^4</f>
        <v>-188614.04248092588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140625" style="2" customWidth="1"/>
    <col min="3" max="3" width="10" style="2" customWidth="1"/>
    <col min="4" max="4" width="14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139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106</v>
      </c>
      <c r="E9" s="18" t="s">
        <v>2</v>
      </c>
      <c r="F9" s="18" t="s">
        <v>85</v>
      </c>
      <c r="G9" s="18" t="s">
        <v>86</v>
      </c>
      <c r="H9" s="36"/>
      <c r="I9" s="1"/>
    </row>
    <row r="10" spans="1:9" ht="15" customHeight="1" x14ac:dyDescent="0.25">
      <c r="A10" s="1"/>
      <c r="B10" s="61" t="s">
        <v>145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140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90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42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36</v>
      </c>
      <c r="C9" s="36"/>
      <c r="D9" s="29" t="s">
        <v>19</v>
      </c>
      <c r="E9" s="36"/>
      <c r="F9" s="29" t="s">
        <v>107</v>
      </c>
      <c r="G9" s="36"/>
      <c r="H9" s="1"/>
    </row>
    <row r="10" spans="1:8" x14ac:dyDescent="0.25">
      <c r="A10" s="1"/>
      <c r="B10" s="56" t="s">
        <v>139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143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144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37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38</v>
      </c>
      <c r="C9" s="29" t="s">
        <v>19</v>
      </c>
      <c r="D9" s="36"/>
      <c r="E9" s="29" t="s">
        <v>107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141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142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24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50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51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52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44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22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56</v>
      </c>
      <c r="C9" s="7">
        <f>'Fane 3. Omkostninger i ØR2018'!G13</f>
        <v>2159350.5458757374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47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48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49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39</v>
      </c>
      <c r="C13" s="11">
        <f>(C9-C10)*Prisudvikling2017+C10*Prisudvikling2018+SUM(C11:C12)*Prisudvikling2019</f>
        <v>27423.751932621864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-37175.163062742111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43</v>
      </c>
      <c r="C15" s="17">
        <f>SUM(C9,C11:C14)</f>
        <v>2149599.1347456174</v>
      </c>
      <c r="D15" s="18" t="s">
        <v>3</v>
      </c>
      <c r="E15" s="17">
        <f>C15</f>
        <v>2149599.1347456174</v>
      </c>
      <c r="F15" s="18" t="s">
        <v>3</v>
      </c>
      <c r="G15" s="1"/>
    </row>
    <row r="16" spans="1:7" x14ac:dyDescent="0.25">
      <c r="A16" s="1"/>
      <c r="B16" s="38" t="s">
        <v>41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79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80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20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20</v>
      </c>
      <c r="C21" s="11">
        <f>'Fane 5. Ikke-påvirkelige omk.'!E16</f>
        <v>1733014.7670285096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82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83</v>
      </c>
      <c r="C23" s="17">
        <f>SUM(C21:C22)</f>
        <v>1733014.7670285096</v>
      </c>
      <c r="D23" s="18" t="s">
        <v>3</v>
      </c>
      <c r="E23" s="17">
        <f>C23</f>
        <v>1733014.7670285096</v>
      </c>
      <c r="F23" s="18" t="s">
        <v>3</v>
      </c>
      <c r="G23" s="1"/>
    </row>
    <row r="24" spans="1:7" ht="15" customHeight="1" x14ac:dyDescent="0.25">
      <c r="A24" s="1"/>
      <c r="B24" s="38" t="s">
        <v>84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58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59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60</v>
      </c>
      <c r="C27" s="7">
        <v>6867.9867450883512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61</v>
      </c>
      <c r="C28" s="17">
        <f>SUM(C25:C27)</f>
        <v>6867.9867450883512</v>
      </c>
      <c r="D28" s="18" t="s">
        <v>3</v>
      </c>
      <c r="E28" s="17">
        <f>C28</f>
        <v>6867.9867450883512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21</v>
      </c>
      <c r="C30" s="17">
        <f>'Fane 7. Hist. over el. underdæk'!G13</f>
        <v>80239.75</v>
      </c>
      <c r="D30" s="18" t="s">
        <v>3</v>
      </c>
      <c r="E30" s="17">
        <f>C30</f>
        <v>80239.75</v>
      </c>
      <c r="F30" s="18" t="s">
        <v>3</v>
      </c>
      <c r="G30" s="1"/>
    </row>
    <row r="31" spans="1:7" x14ac:dyDescent="0.25">
      <c r="A31" s="1"/>
      <c r="B31" s="38" t="s">
        <v>33</v>
      </c>
      <c r="C31" s="39"/>
      <c r="D31" s="40"/>
      <c r="E31" s="20">
        <f>SUM(E15,E19,E23,E28,E30)</f>
        <v>3969721.6385192154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45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22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63</v>
      </c>
      <c r="C9" s="7">
        <f>'Fane 2.1. Økonomisk ramme 2019'!E15</f>
        <v>2149599.1347456174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47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64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39</v>
      </c>
      <c r="C12" s="11">
        <f>(C9-C10-C11)*Prisudvikling2017+C10*Prisudvikling2018+C11*Prisudvikling2019</f>
        <v>27299.909011269341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-37007.283743867076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43</v>
      </c>
      <c r="C14" s="17">
        <f>SUM(C9,C12:C13)</f>
        <v>2139891.7600130197</v>
      </c>
      <c r="D14" s="18" t="s">
        <v>3</v>
      </c>
      <c r="E14" s="17">
        <f>C14</f>
        <v>2139891.7600130197</v>
      </c>
      <c r="F14" s="18" t="s">
        <v>3</v>
      </c>
      <c r="G14" s="1"/>
    </row>
    <row r="15" spans="1:7" ht="15" customHeight="1" x14ac:dyDescent="0.25">
      <c r="A15" s="1"/>
      <c r="B15" s="38" t="s">
        <v>41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79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80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20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20</v>
      </c>
      <c r="C20" s="11">
        <f>'Fane 5. Ikke-påvirkelige omk.'!E16*(1+Prisudvikling2019)</f>
        <v>1762302.7165912914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82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83</v>
      </c>
      <c r="C22" s="17">
        <f>SUM(C20:C21)</f>
        <v>1762302.7165912914</v>
      </c>
      <c r="D22" s="18" t="s">
        <v>3</v>
      </c>
      <c r="E22" s="17">
        <f>C22</f>
        <v>1762302.7165912914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21</v>
      </c>
      <c r="C24" s="17">
        <f>IF('Fane 7. Hist. over el. underdæk'!G12&gt;1,'Fane 7. Hist. over el. underdæk'!G13,0)</f>
        <v>80239.75</v>
      </c>
      <c r="D24" s="18" t="s">
        <v>3</v>
      </c>
      <c r="E24" s="17">
        <f>C24</f>
        <v>80239.75</v>
      </c>
      <c r="F24" s="18" t="s">
        <v>3</v>
      </c>
      <c r="G24" s="1"/>
    </row>
    <row r="25" spans="1:7" x14ac:dyDescent="0.25">
      <c r="A25" s="1"/>
      <c r="B25" s="38" t="s">
        <v>65</v>
      </c>
      <c r="C25" s="39"/>
      <c r="D25" s="40"/>
      <c r="E25" s="20">
        <f>SUM(E14,E18,E22,E24)</f>
        <v>3982434.2266043108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87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46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22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66</v>
      </c>
      <c r="C9" s="7">
        <f>'Fane 2.2. Økonomisk ramme 2020'!E14</f>
        <v>2139891.7600130197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25</v>
      </c>
      <c r="C10" s="7">
        <f>'Fane 4. Korrigeret grundlag'!G24</f>
        <v>9786.7103317048259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39</v>
      </c>
      <c r="C11" s="11">
        <f>SUM(C9:C10)*Prisudvikling2019</f>
        <v>36329.566148825841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-37162.13662039036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43</v>
      </c>
      <c r="C13" s="17">
        <f>SUM(C9:C12)</f>
        <v>2148845.8998731603</v>
      </c>
      <c r="D13" s="18" t="s">
        <v>3</v>
      </c>
      <c r="E13" s="17">
        <f>C13</f>
        <v>2148845.8998731603</v>
      </c>
      <c r="F13" s="18" t="s">
        <v>3</v>
      </c>
      <c r="G13" s="1"/>
    </row>
    <row r="14" spans="1:7" x14ac:dyDescent="0.25">
      <c r="A14" s="1"/>
      <c r="B14" s="38" t="s">
        <v>41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79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80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20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20</v>
      </c>
      <c r="C19" s="11">
        <f>'Fane 5. Ikke-påvirkelige omk.'!E16*(1+Prisudvikling2019)^2</f>
        <v>1792085.6325016839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82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83</v>
      </c>
      <c r="C21" s="17">
        <f>SUM(C19:C20)</f>
        <v>1792085.6325016839</v>
      </c>
      <c r="D21" s="18" t="s">
        <v>3</v>
      </c>
      <c r="E21" s="17">
        <f>C21</f>
        <v>1792085.6325016839</v>
      </c>
      <c r="F21" s="18" t="s">
        <v>3</v>
      </c>
      <c r="G21" s="1"/>
    </row>
    <row r="22" spans="1:7" x14ac:dyDescent="0.25">
      <c r="A22" s="1"/>
      <c r="B22" s="38" t="s">
        <v>121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31</v>
      </c>
      <c r="C23" s="17">
        <f>'Fane 6. Korrektion prisloft 16'!G13</f>
        <v>5835.6787147748701</v>
      </c>
      <c r="D23" s="18" t="s">
        <v>3</v>
      </c>
      <c r="E23" s="17">
        <f>C23</f>
        <v>5835.6787147748701</v>
      </c>
      <c r="F23" s="18" t="s">
        <v>3</v>
      </c>
      <c r="G23" s="1"/>
    </row>
    <row r="24" spans="1:7" x14ac:dyDescent="0.25">
      <c r="A24" s="1"/>
      <c r="B24" s="38" t="s">
        <v>118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119</v>
      </c>
      <c r="C25" s="11">
        <f>'Fane 6. Korrektion prisloft 16'!G22</f>
        <v>-146162.28824355634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117</v>
      </c>
      <c r="C26" s="11">
        <f>'Fane 8. Kontrol af ØR2017'!G22</f>
        <v>-188614.04248092588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120</v>
      </c>
      <c r="C27" s="55">
        <f>SUM(C25:C26)</f>
        <v>-334776.33072448219</v>
      </c>
      <c r="D27" s="36" t="s">
        <v>3</v>
      </c>
      <c r="E27" s="17">
        <f>C27</f>
        <v>-334776.33072448219</v>
      </c>
      <c r="F27" s="18" t="s">
        <v>3</v>
      </c>
      <c r="G27" s="1"/>
    </row>
    <row r="28" spans="1:7" x14ac:dyDescent="0.25">
      <c r="A28" s="1"/>
      <c r="B28" s="38" t="s">
        <v>81</v>
      </c>
      <c r="C28" s="39"/>
      <c r="D28" s="40"/>
      <c r="E28" s="20">
        <f>SUM(E13,E17,E21,E23,E27)</f>
        <v>3611990.880365137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88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46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22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76</v>
      </c>
      <c r="C9" s="7">
        <f>'Fane 2.3. Økonomisk ramme 2021'!E13</f>
        <v>2148845.8998731603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39</v>
      </c>
      <c r="C10" s="11">
        <f>C9*Prisudvikling2019</f>
        <v>36315.495707856404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-37147.743724877291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43</v>
      </c>
      <c r="C12" s="17">
        <f>SUM(C9:C11)</f>
        <v>2148013.6518561393</v>
      </c>
      <c r="D12" s="18" t="s">
        <v>3</v>
      </c>
      <c r="E12" s="17">
        <f>C12</f>
        <v>2148013.6518561393</v>
      </c>
      <c r="F12" s="18" t="s">
        <v>3</v>
      </c>
      <c r="G12" s="1"/>
    </row>
    <row r="13" spans="1:7" x14ac:dyDescent="0.25">
      <c r="A13" s="1"/>
      <c r="B13" s="38" t="s">
        <v>41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79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80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20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20</v>
      </c>
      <c r="C18" s="11">
        <f>'Fane 5. Ikke-påvirkelige omk.'!E16*(1+Prisudvikling2019)^3</f>
        <v>1822371.8796909621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82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83</v>
      </c>
      <c r="C20" s="17">
        <f>SUM(C18:C19)</f>
        <v>1822371.8796909621</v>
      </c>
      <c r="D20" s="18" t="s">
        <v>3</v>
      </c>
      <c r="E20" s="17">
        <f>C20</f>
        <v>1822371.8796909621</v>
      </c>
      <c r="F20" s="18" t="s">
        <v>3</v>
      </c>
      <c r="G20" s="1"/>
    </row>
    <row r="21" spans="1:7" x14ac:dyDescent="0.25">
      <c r="A21" s="1"/>
      <c r="B21" s="38" t="s">
        <v>121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31</v>
      </c>
      <c r="C22" s="17">
        <f>'Fane 2.3. Økonomisk ramme 2021'!C23*(1+Prisudvikling2019)</f>
        <v>5934.3016850545646</v>
      </c>
      <c r="D22" s="18" t="s">
        <v>3</v>
      </c>
      <c r="E22" s="17">
        <f>C22</f>
        <v>5934.3016850545646</v>
      </c>
      <c r="F22" s="18" t="s">
        <v>3</v>
      </c>
      <c r="G22" s="1"/>
    </row>
    <row r="23" spans="1:7" ht="15" customHeight="1" x14ac:dyDescent="0.25">
      <c r="A23" s="1"/>
      <c r="B23" s="38" t="s">
        <v>118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119</v>
      </c>
      <c r="C24" s="11">
        <f>'Fane 2.3. Økonomisk ramme 2021'!C25*(1+Prisudvikling2019)</f>
        <v>-148632.43091487241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117</v>
      </c>
      <c r="C25" s="11">
        <f>'Fane 2.3. Økonomisk ramme 2021'!C26*(1+Prisudvikling2019)</f>
        <v>-191801.61979885353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55">
        <f>SUM(C24:C25)</f>
        <v>-340434.05071372597</v>
      </c>
      <c r="D26" s="36" t="s">
        <v>3</v>
      </c>
      <c r="E26" s="17">
        <f>C26</f>
        <v>-340434.05071372597</v>
      </c>
      <c r="F26" s="18" t="s">
        <v>3</v>
      </c>
      <c r="G26" s="1"/>
    </row>
    <row r="27" spans="1:7" x14ac:dyDescent="0.25">
      <c r="A27" s="1"/>
      <c r="B27" s="38" t="s">
        <v>75</v>
      </c>
      <c r="C27" s="39"/>
      <c r="D27" s="40"/>
      <c r="E27" s="20">
        <f>SUM(E12,E16,E20,E22,E26)</f>
        <v>3635885.7825184301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89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56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32</v>
      </c>
      <c r="C9" s="46"/>
      <c r="D9" s="46"/>
      <c r="E9" s="46"/>
      <c r="F9" s="47"/>
      <c r="G9" s="11">
        <v>3692161.7738757376</v>
      </c>
      <c r="H9" s="22" t="s">
        <v>3</v>
      </c>
      <c r="I9" s="1"/>
    </row>
    <row r="10" spans="1:9" x14ac:dyDescent="0.25">
      <c r="A10" s="1"/>
      <c r="B10" s="44" t="s">
        <v>57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54</v>
      </c>
      <c r="C11" s="46"/>
      <c r="D11" s="46"/>
      <c r="E11" s="46"/>
      <c r="F11" s="47"/>
      <c r="G11" s="11">
        <v>1532811.2279999999</v>
      </c>
      <c r="H11" s="22" t="s">
        <v>3</v>
      </c>
      <c r="I11" s="1"/>
    </row>
    <row r="12" spans="1:9" x14ac:dyDescent="0.25">
      <c r="A12" s="1"/>
      <c r="B12" s="44" t="s">
        <v>55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77</v>
      </c>
      <c r="C13" s="49"/>
      <c r="D13" s="49"/>
      <c r="E13" s="49"/>
      <c r="F13" s="50"/>
      <c r="G13" s="34">
        <f>G9-G11-G12</f>
        <v>2159350.5458757374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67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68</v>
      </c>
      <c r="C9" s="46"/>
      <c r="D9" s="46"/>
      <c r="E9" s="46"/>
      <c r="F9" s="47"/>
      <c r="G9" s="11">
        <v>1200109.3877885477</v>
      </c>
      <c r="H9" s="22" t="s">
        <v>3</v>
      </c>
      <c r="I9" s="1"/>
    </row>
    <row r="10" spans="1:9" x14ac:dyDescent="0.25">
      <c r="A10" s="1"/>
      <c r="B10" s="45" t="s">
        <v>69</v>
      </c>
      <c r="C10" s="46"/>
      <c r="D10" s="46"/>
      <c r="E10" s="46"/>
      <c r="F10" s="47"/>
      <c r="G10" s="11">
        <v>1006515.7184877325</v>
      </c>
      <c r="H10" s="22" t="s">
        <v>3</v>
      </c>
      <c r="I10" s="1"/>
    </row>
    <row r="11" spans="1:9" ht="26.25" customHeight="1" x14ac:dyDescent="0.25">
      <c r="A11" s="1"/>
      <c r="B11" s="48" t="s">
        <v>70</v>
      </c>
      <c r="C11" s="49"/>
      <c r="D11" s="49"/>
      <c r="E11" s="49"/>
      <c r="F11" s="50"/>
      <c r="G11" s="34">
        <f>SUM(G9:G10)</f>
        <v>2206625.1062762802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71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34</v>
      </c>
      <c r="C15" s="46"/>
      <c r="D15" s="46"/>
      <c r="E15" s="46"/>
      <c r="F15" s="47"/>
      <c r="G15" s="11">
        <v>1200109.3877885477</v>
      </c>
      <c r="H15" s="22" t="s">
        <v>3</v>
      </c>
      <c r="I15" s="1"/>
    </row>
    <row r="16" spans="1:9" x14ac:dyDescent="0.25">
      <c r="A16" s="1"/>
      <c r="B16" s="45" t="s">
        <v>35</v>
      </c>
      <c r="C16" s="46"/>
      <c r="D16" s="46"/>
      <c r="E16" s="46"/>
      <c r="F16" s="47"/>
      <c r="G16" s="11">
        <v>1015822.5530117326</v>
      </c>
      <c r="H16" s="22" t="s">
        <v>3</v>
      </c>
      <c r="I16" s="1"/>
    </row>
    <row r="17" spans="1:9" ht="26.25" customHeight="1" x14ac:dyDescent="0.25">
      <c r="A17" s="1"/>
      <c r="B17" s="48" t="s">
        <v>72</v>
      </c>
      <c r="C17" s="49"/>
      <c r="D17" s="49"/>
      <c r="E17" s="49"/>
      <c r="F17" s="50"/>
      <c r="G17" s="34">
        <f>SUM(G15:G16)</f>
        <v>2215931.9408002803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25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73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74</v>
      </c>
      <c r="C22" s="46"/>
      <c r="D22" s="46"/>
      <c r="E22" s="46"/>
      <c r="F22" s="47"/>
      <c r="G22" s="11">
        <f>G16-G10</f>
        <v>9306.83452400018</v>
      </c>
      <c r="H22" s="22" t="s">
        <v>3</v>
      </c>
      <c r="I22" s="1"/>
    </row>
    <row r="23" spans="1:9" ht="15" customHeight="1" x14ac:dyDescent="0.25">
      <c r="A23" s="1"/>
      <c r="B23" s="48" t="s">
        <v>136</v>
      </c>
      <c r="C23" s="49"/>
      <c r="D23" s="49"/>
      <c r="E23" s="49"/>
      <c r="F23" s="50"/>
      <c r="G23" s="20">
        <f>SUM(G21:G22)</f>
        <v>9306.83452400018</v>
      </c>
      <c r="H23" s="21" t="s">
        <v>3</v>
      </c>
      <c r="I23" s="1"/>
    </row>
    <row r="24" spans="1:9" ht="15" customHeight="1" x14ac:dyDescent="0.25">
      <c r="A24" s="1"/>
      <c r="B24" s="48" t="s">
        <v>137</v>
      </c>
      <c r="C24" s="49"/>
      <c r="D24" s="49"/>
      <c r="E24" s="49"/>
      <c r="F24" s="50"/>
      <c r="G24" s="20">
        <f>G23*(1+Prisudvikling2019)^3</f>
        <v>9786.7103317048259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108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130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78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105</v>
      </c>
      <c r="C9" s="30"/>
      <c r="D9" s="36"/>
      <c r="E9" s="18" t="s">
        <v>53</v>
      </c>
      <c r="F9" s="18"/>
      <c r="G9" s="1"/>
      <c r="H9" s="1"/>
    </row>
    <row r="10" spans="1:8" x14ac:dyDescent="0.25">
      <c r="A10" s="1"/>
      <c r="B10" s="41" t="s">
        <v>146</v>
      </c>
      <c r="C10" s="46"/>
      <c r="D10" s="47"/>
      <c r="E10" s="11">
        <v>1503281</v>
      </c>
      <c r="F10" s="22" t="s">
        <v>3</v>
      </c>
      <c r="G10" s="1"/>
      <c r="H10" s="1"/>
    </row>
    <row r="11" spans="1:8" x14ac:dyDescent="0.25">
      <c r="A11" s="1"/>
      <c r="B11" s="41" t="s">
        <v>147</v>
      </c>
      <c r="C11" s="46"/>
      <c r="D11" s="47"/>
      <c r="E11" s="11">
        <v>3137</v>
      </c>
      <c r="F11" s="22" t="s">
        <v>3</v>
      </c>
      <c r="G11" s="1"/>
      <c r="H11" s="1"/>
    </row>
    <row r="12" spans="1:8" x14ac:dyDescent="0.25">
      <c r="A12" s="1"/>
      <c r="B12" s="41" t="s">
        <v>148</v>
      </c>
      <c r="C12" s="46"/>
      <c r="D12" s="47"/>
      <c r="E12" s="11">
        <v>6971</v>
      </c>
      <c r="F12" s="22" t="s">
        <v>3</v>
      </c>
      <c r="G12" s="1"/>
      <c r="H12" s="1"/>
    </row>
    <row r="13" spans="1:8" x14ac:dyDescent="0.25">
      <c r="A13" s="1"/>
      <c r="B13" s="41" t="s">
        <v>149</v>
      </c>
      <c r="C13" s="46"/>
      <c r="D13" s="47"/>
      <c r="E13" s="11">
        <v>144002</v>
      </c>
      <c r="F13" s="22" t="s">
        <v>3</v>
      </c>
      <c r="G13" s="1"/>
      <c r="H13" s="1"/>
    </row>
    <row r="14" spans="1:8" ht="26.25" x14ac:dyDescent="0.25">
      <c r="A14" s="1"/>
      <c r="B14" s="41" t="s">
        <v>150</v>
      </c>
      <c r="C14" s="46"/>
      <c r="D14" s="47"/>
      <c r="E14" s="11">
        <v>18500</v>
      </c>
      <c r="F14" s="22" t="s">
        <v>3</v>
      </c>
      <c r="G14" s="1"/>
      <c r="H14" s="1"/>
    </row>
    <row r="15" spans="1:8" x14ac:dyDescent="0.25">
      <c r="A15" s="1"/>
      <c r="B15" s="38" t="s">
        <v>133</v>
      </c>
      <c r="C15" s="39"/>
      <c r="D15" s="40"/>
      <c r="E15" s="20">
        <f>SUM(E10:E14)</f>
        <v>1675891</v>
      </c>
      <c r="F15" s="21" t="s">
        <v>3</v>
      </c>
      <c r="G15" s="1"/>
      <c r="H15" s="1"/>
    </row>
    <row r="16" spans="1:8" x14ac:dyDescent="0.25">
      <c r="A16" s="1"/>
      <c r="B16" s="38" t="s">
        <v>134</v>
      </c>
      <c r="C16" s="39"/>
      <c r="D16" s="40"/>
      <c r="E16" s="20">
        <f>E15*(1+Prisudvikling2019)^2</f>
        <v>1733014.7670285096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121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31</v>
      </c>
      <c r="C9" s="91"/>
      <c r="D9" s="92"/>
      <c r="E9" s="11">
        <v>21453.786666666663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112</v>
      </c>
      <c r="C10" s="94"/>
      <c r="D10" s="95"/>
      <c r="E10" s="11">
        <v>4</v>
      </c>
      <c r="F10" s="22" t="s">
        <v>40</v>
      </c>
      <c r="G10" s="14"/>
      <c r="H10" s="28"/>
      <c r="I10" s="1"/>
    </row>
    <row r="11" spans="1:9" x14ac:dyDescent="0.25">
      <c r="A11" s="1"/>
      <c r="B11" s="93" t="s">
        <v>122</v>
      </c>
      <c r="C11" s="94"/>
      <c r="D11" s="95"/>
      <c r="E11" s="11">
        <f>E9/E10</f>
        <v>5363.4466666666658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128</v>
      </c>
      <c r="C12" s="88"/>
      <c r="D12" s="88"/>
      <c r="E12" s="88"/>
      <c r="F12" s="89"/>
      <c r="G12" s="20">
        <f>E11</f>
        <v>5363.4466666666658</v>
      </c>
      <c r="H12" s="21" t="s">
        <v>3</v>
      </c>
      <c r="I12" s="1"/>
    </row>
    <row r="13" spans="1:9" x14ac:dyDescent="0.25">
      <c r="A13" s="1"/>
      <c r="B13" s="87" t="s">
        <v>124</v>
      </c>
      <c r="C13" s="88"/>
      <c r="D13" s="88"/>
      <c r="E13" s="88"/>
      <c r="F13" s="89"/>
      <c r="G13" s="20">
        <f>G12*(1+Prisudvikling2018)*(1+Prisudvikling2019)^4</f>
        <v>5835.6787147748701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119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119</v>
      </c>
      <c r="C18" s="91"/>
      <c r="D18" s="92"/>
      <c r="E18" s="11">
        <v>-537338.44921071362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112</v>
      </c>
      <c r="C19" s="94"/>
      <c r="D19" s="95"/>
      <c r="E19" s="11">
        <v>4</v>
      </c>
      <c r="F19" s="22" t="s">
        <v>40</v>
      </c>
      <c r="G19" s="14"/>
      <c r="H19" s="28"/>
      <c r="I19" s="1"/>
    </row>
    <row r="20" spans="1:9" x14ac:dyDescent="0.25">
      <c r="A20" s="1"/>
      <c r="B20" s="93" t="s">
        <v>123</v>
      </c>
      <c r="C20" s="94"/>
      <c r="D20" s="95"/>
      <c r="E20" s="11">
        <f>E18/E19</f>
        <v>-134334.6123026784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128</v>
      </c>
      <c r="C21" s="88"/>
      <c r="D21" s="88"/>
      <c r="E21" s="88"/>
      <c r="F21" s="89"/>
      <c r="G21" s="20">
        <f>E20</f>
        <v>-134334.6123026784</v>
      </c>
      <c r="H21" s="21" t="s">
        <v>3</v>
      </c>
      <c r="I21" s="1"/>
    </row>
    <row r="22" spans="1:9" x14ac:dyDescent="0.25">
      <c r="A22" s="1"/>
      <c r="B22" s="87" t="s">
        <v>124</v>
      </c>
      <c r="C22" s="88"/>
      <c r="D22" s="88"/>
      <c r="E22" s="88"/>
      <c r="F22" s="89"/>
      <c r="G22" s="20">
        <f>G21*(1+Prisudvikling2018)*(1+Prisudvikling2019)^4</f>
        <v>-146162.28824355634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2018-09-13T11:11:11Z</dcterms:modified>
</cp:coreProperties>
</file>