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4620" tabRatio="746"/>
  </bookViews>
  <sheets>
    <sheet name="1. Forside" sheetId="1" r:id="rId1"/>
    <sheet name="Fane 2.1. Økonomisk ramme 2019" sheetId="2" r:id="rId2"/>
    <sheet name="Fane 2.2. Økonomisk ramme 2020" sheetId="15" r:id="rId3"/>
    <sheet name="Fane 2.3. Økonomisk ramme 2021" sheetId="22" r:id="rId4"/>
    <sheet name="Fane 2.4. Økonomisk ramme 2022" sheetId="23" r:id="rId5"/>
    <sheet name="Fane 3. Omkostninger i ØR2018" sheetId="27" r:id="rId6"/>
    <sheet name="Fane 4. Korrigeret grundlag" sheetId="7" r:id="rId7"/>
    <sheet name="Fane 5. Ikke-påvirkelige omk." sheetId="19" r:id="rId8"/>
    <sheet name="Fane 6. Korrektion prisloft 16" sheetId="32" r:id="rId9"/>
    <sheet name="Fane 7. Hist. over el. underdæk" sheetId="10" r:id="rId10"/>
    <sheet name="Fane 8. Kontrol af ØR2017" sheetId="31" r:id="rId11"/>
    <sheet name="Fane 9. Anlægsprojekter" sheetId="11" r:id="rId12"/>
    <sheet name="Fane 10. Tillæg" sheetId="20" r:id="rId13"/>
    <sheet name="Fane 11. Bortfald" sheetId="21" r:id="rId14"/>
    <sheet name="Fane 12. Nøgletal" sheetId="26" r:id="rId15"/>
  </sheets>
  <definedNames>
    <definedName name="GenereltKrav">'Fane 12. Nøgletal'!$F$16</definedName>
    <definedName name="Prisudvikling2017">'Fane 12. Nøgletal'!$F$9</definedName>
    <definedName name="Prisudvikling2018">'Fane 12. Nøgletal'!$F$10</definedName>
    <definedName name="Prisudvikling2019">'Fane 12. Nøgletal'!$F$11</definedName>
  </definedNames>
  <calcPr calcId="145621"/>
</workbook>
</file>

<file path=xl/calcChain.xml><?xml version="1.0" encoding="utf-8"?>
<calcChain xmlns="http://schemas.openxmlformats.org/spreadsheetml/2006/main">
  <c r="E30" i="15" l="1"/>
  <c r="C29" i="15" l="1"/>
  <c r="E29" i="15" s="1"/>
  <c r="E35" i="2"/>
  <c r="C35" i="2"/>
  <c r="E12" i="31" l="1"/>
  <c r="E20" i="32" l="1"/>
  <c r="G21" i="32" s="1"/>
  <c r="G22" i="32" s="1"/>
  <c r="E11" i="32"/>
  <c r="G12" i="32" s="1"/>
  <c r="G13" i="32" s="1"/>
  <c r="E18" i="31"/>
  <c r="E20" i="31" s="1"/>
  <c r="G21" i="31" s="1"/>
  <c r="G22" i="31" s="1"/>
  <c r="C26" i="22" s="1"/>
  <c r="C25" i="23" s="1"/>
  <c r="C25" i="22" l="1"/>
  <c r="C23" i="22"/>
  <c r="C22" i="23" s="1"/>
  <c r="G12" i="31"/>
  <c r="C27" i="22" l="1"/>
  <c r="E27" i="22" s="1"/>
  <c r="C24" i="23"/>
  <c r="C26" i="23" s="1"/>
  <c r="E26" i="23" s="1"/>
  <c r="E22" i="23" l="1"/>
  <c r="G11" i="11" l="1"/>
  <c r="F11" i="11"/>
  <c r="D10" i="20" s="1"/>
  <c r="G13" i="27" l="1"/>
  <c r="C15" i="23" l="1"/>
  <c r="C28" i="2" l="1"/>
  <c r="C16" i="23"/>
  <c r="E16" i="23" s="1"/>
  <c r="C16" i="22"/>
  <c r="C17" i="22" s="1"/>
  <c r="E17" i="22" s="1"/>
  <c r="C17" i="15"/>
  <c r="C18" i="15" s="1"/>
  <c r="E18" i="15" s="1"/>
  <c r="C18" i="2"/>
  <c r="C19" i="2" s="1"/>
  <c r="E19" i="2" s="1"/>
  <c r="G21" i="7" l="1"/>
  <c r="G22" i="7"/>
  <c r="G17" i="7"/>
  <c r="D11" i="20"/>
  <c r="E11" i="21"/>
  <c r="E12" i="21" s="1"/>
  <c r="C11" i="21"/>
  <c r="C12" i="21" s="1"/>
  <c r="C10" i="2"/>
  <c r="C10" i="15" s="1"/>
  <c r="C9" i="2"/>
  <c r="E13" i="19"/>
  <c r="E14" i="19" s="1"/>
  <c r="C21" i="2" l="1"/>
  <c r="C23" i="2" s="1"/>
  <c r="E23" i="2" s="1"/>
  <c r="C18" i="23"/>
  <c r="C19" i="22"/>
  <c r="C21" i="22" s="1"/>
  <c r="E21" i="22" s="1"/>
  <c r="C20" i="15"/>
  <c r="C22" i="15" s="1"/>
  <c r="E22" i="15" s="1"/>
  <c r="G23" i="7"/>
  <c r="G24" i="7" s="1"/>
  <c r="C10" i="22" s="1"/>
  <c r="C12" i="2"/>
  <c r="C20" i="23" l="1"/>
  <c r="E20" i="23" s="1"/>
  <c r="G11" i="10"/>
  <c r="E28" i="2" l="1"/>
  <c r="G13" i="10"/>
  <c r="C30" i="2" l="1"/>
  <c r="C24" i="15"/>
  <c r="E24" i="15" s="1"/>
  <c r="D12" i="20" l="1"/>
  <c r="G11" i="7" l="1"/>
  <c r="E11" i="11" l="1"/>
  <c r="F10" i="20" s="1"/>
  <c r="F11" i="20" s="1"/>
  <c r="F12" i="20" s="1"/>
  <c r="C11" i="2" s="1"/>
  <c r="E30" i="2"/>
  <c r="C13" i="2" l="1"/>
  <c r="C14" i="2" s="1"/>
  <c r="C15" i="2" s="1"/>
  <c r="C11" i="15"/>
  <c r="E23" i="22"/>
  <c r="E15" i="2" l="1"/>
  <c r="E36" i="2" s="1"/>
  <c r="C9" i="15" l="1"/>
  <c r="C12" i="15" l="1"/>
  <c r="C13" i="15" s="1"/>
  <c r="C14" i="15" l="1"/>
  <c r="E14" i="15" s="1"/>
  <c r="C9" i="22" l="1"/>
  <c r="C11" i="22" s="1"/>
  <c r="C12" i="22" s="1"/>
  <c r="C13" i="22" s="1"/>
  <c r="E13" i="22" s="1"/>
  <c r="E28" i="22" s="1"/>
  <c r="C9" i="23" l="1"/>
  <c r="C10" i="23" s="1"/>
  <c r="C11" i="23" s="1"/>
  <c r="C12" i="23" l="1"/>
  <c r="E12" i="23" s="1"/>
  <c r="E27" i="23" s="1"/>
</calcChain>
</file>

<file path=xl/sharedStrings.xml><?xml version="1.0" encoding="utf-8"?>
<sst xmlns="http://schemas.openxmlformats.org/spreadsheetml/2006/main" count="378" uniqueCount="162">
  <si>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</si>
  <si>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</si>
  <si>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</si>
  <si>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</si>
  <si>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</si>
  <si>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</si>
  <si>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</si>
  <si>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</si>
  <si>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</si>
  <si>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</si>
  <si>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</si>
  <si>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</si>
  <si>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</si>
  <si>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</si>
  <si>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Generelt effektiviseringskrav</t>
  </si>
  <si>
    <t>Historisk over- eller underdækning</t>
  </si>
  <si>
    <t>Tillæg/fradrag i alt</t>
  </si>
  <si>
    <t>Opgjort over- eller underdækning per. 31. december 2010</t>
  </si>
  <si>
    <t>Resterende indregningsperiode (fastsat i prisloftet for 2012)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</si>
  <si>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</si>
  <si>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</si>
  <si>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</si>
  <si>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</si>
  <si>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</si>
  <si>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</si>
  <si>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Fane 10</t>
  </si>
  <si>
    <t>Prisudvikling</t>
  </si>
  <si>
    <t>Korrektion af grundlag</t>
  </si>
  <si>
    <t>Tillæg</t>
  </si>
  <si>
    <t>Fane 11</t>
  </si>
  <si>
    <t>Fane 12</t>
  </si>
  <si>
    <t>Fane 2.2</t>
  </si>
  <si>
    <t>Samlet økonomisk ramme for 2019</t>
  </si>
  <si>
    <t>Samlet korrektion af budgetterede omkostninger i 2016</t>
  </si>
  <si>
    <t>Omkostninger i den økonomiske ramme for 2018</t>
  </si>
  <si>
    <t>Økonomisk ramme for 2019</t>
  </si>
  <si>
    <t>Nyt niveau for driftsomkostninger</t>
  </si>
  <si>
    <t>Nyt niveau for anlægsomkostninger inkl. finansielle omkostninger</t>
  </si>
  <si>
    <t>Beskrivelse af tillæg</t>
  </si>
  <si>
    <t>Bortfald eller nedsættelse</t>
  </si>
  <si>
    <t>Beskrivelse af bortfald eller nedsættelse</t>
  </si>
  <si>
    <t>Prisudvikling i kr.</t>
  </si>
  <si>
    <t>år</t>
  </si>
  <si>
    <t>Periodevise driftsomkostninger</t>
  </si>
  <si>
    <t>Nye påvirkelige tillæg</t>
  </si>
  <si>
    <t>Omkostninger i alt</t>
  </si>
  <si>
    <t>Fane 2.1: Samlet økonomisk ramme for 2019</t>
  </si>
  <si>
    <t>Fane 2.2: Samlet økonomisk ramme for 2020</t>
  </si>
  <si>
    <t>Vejledende</t>
  </si>
  <si>
    <t xml:space="preserve"> -Heraf nye omkostninger i ØR2018</t>
  </si>
  <si>
    <t>Nye tillæg</t>
  </si>
  <si>
    <t>Bortfald eller nedsættelse af omkostninger</t>
  </si>
  <si>
    <t>Prisudvikling til ØR2017</t>
  </si>
  <si>
    <t>Prisudvikling til brug for nye omkostninger i ØR2018</t>
  </si>
  <si>
    <t>Prisudvikling til brug for nye omkostninger i ØR2019</t>
  </si>
  <si>
    <t>Heraf beløb indregnet i prislofterne/de økonomiske rammer for 2011-2018</t>
  </si>
  <si>
    <t>Faktiske omkostninger i 2017</t>
  </si>
  <si>
    <t>- Heraf ikke-påvirkelige omkostninger</t>
  </si>
  <si>
    <t>- Heraf periodevise driftsomkostninger</t>
  </si>
  <si>
    <t>Videreførte omkostninger fra den økonomiske ramme for 2018</t>
  </si>
  <si>
    <t>- Heraf nye omkostninger i den økonomiske ramme for 2018</t>
  </si>
  <si>
    <t>Korrektion af periodevise driftsomkostninger</t>
  </si>
  <si>
    <t>Korrektion af tidligere godkendte klima</t>
  </si>
  <si>
    <t>Korrektion af forkert prisfremskrivning af ikke-påvirkelige omkostninger i ØR2018</t>
  </si>
  <si>
    <t>Korrektioner i alt</t>
  </si>
  <si>
    <t>Nøgletal</t>
  </si>
  <si>
    <t>Videreførte omkostninger fra den økonomiske ramme for 2019</t>
  </si>
  <si>
    <t xml:space="preserve"> -Heraf nye omkostninger i ØR2019</t>
  </si>
  <si>
    <t>Økonomisk ramme for 2020</t>
  </si>
  <si>
    <t>Videreførte omkostninger fra den økonomiske ramme for 2020</t>
  </si>
  <si>
    <t>Grundlag til brug for den økonomiske ramme for 2017</t>
  </si>
  <si>
    <t>Niveau for driftsomkostninger</t>
  </si>
  <si>
    <t>Niveau for anlægsomkostninger inkl. finansielle omkostninger</t>
  </si>
  <si>
    <t>Grundlag eksl. ikke-påvirkelige omkostninger og periodevise driftsomkostninger (i 2017-niveau)</t>
  </si>
  <si>
    <t>Korrigeret grundlag til brug for den økonomiske ramme for 2021 og frem</t>
  </si>
  <si>
    <t>Korrigeret grundlag eksl. ikke-påvirkelige omkostninger og periodevise driftsomkostninger (i 2017-niveau)</t>
  </si>
  <si>
    <t>Korrektion af driftsomkostninger</t>
  </si>
  <si>
    <t>Korrektion af anlægsomkostninger</t>
  </si>
  <si>
    <t>Økonomisk ramme for 2022</t>
  </si>
  <si>
    <t>Videreførte omkostninger fra den økonomiske ramme for 2021</t>
  </si>
  <si>
    <t>Videreførte omkostninger fra den økonomiske ramme for 2018 (2018-prisniveau)</t>
  </si>
  <si>
    <t>Faktiske ikke-påvirkelige omkostninger i 2017</t>
  </si>
  <si>
    <t>Effektiviseringskrav til periodevise driftsomkostninger</t>
  </si>
  <si>
    <t>Periodevise driftsomkostninger i alt</t>
  </si>
  <si>
    <t>Økonomisk ramme for 2021</t>
  </si>
  <si>
    <t>Tilbagebetaling af vejbidrag</t>
  </si>
  <si>
    <t>Ikke-påvirkelige omkostninger i alt</t>
  </si>
  <si>
    <t>Korrektion af de økonomiske rammer for 2017 og 2018</t>
  </si>
  <si>
    <t>Driftsomkostnigner</t>
  </si>
  <si>
    <t>Finansielle omkostninger</t>
  </si>
  <si>
    <t>Fane 2.3: Samlet økonomisk ramme for 2021</t>
  </si>
  <si>
    <t>Fane 2.4: Samlet økonomisk ramme for 2022</t>
  </si>
  <si>
    <t>Fane 3: Videreførte omkostninger fra den økonomiske ramme for 2018</t>
  </si>
  <si>
    <t>Fane 10: Tillæg</t>
  </si>
  <si>
    <t>Fane 2.3</t>
  </si>
  <si>
    <t>Fane 2.4</t>
  </si>
  <si>
    <t>Samlet økonomisk ramme for 2020</t>
  </si>
  <si>
    <t>Samlet økonomisk ramme for 2021</t>
  </si>
  <si>
    <t>Omkostninger i ØR2018</t>
  </si>
  <si>
    <t>Ikke-påvirkelige omk.</t>
  </si>
  <si>
    <t>Korrigeret grundlag</t>
  </si>
  <si>
    <t>Hist. over el. underdæk</t>
  </si>
  <si>
    <t>Bortfald</t>
  </si>
  <si>
    <t>Til statusmeddelelse 2019</t>
  </si>
  <si>
    <t>Anlægsprojekter</t>
  </si>
  <si>
    <t>Indtægtsramme i den økonomiske ramme for 2017</t>
  </si>
  <si>
    <t>Faktiske indtægter i 2017</t>
  </si>
  <si>
    <t>Difference</t>
  </si>
  <si>
    <t>Beskrivelse af ikke-påvirkelige omkostninger</t>
  </si>
  <si>
    <t>Anskaffelsespris (kr.)</t>
  </si>
  <si>
    <t>Anlægsomkostninger</t>
  </si>
  <si>
    <t>Beregningen af de enkelte komponenter i det korrigeret grundlag fremgår af bilag B til de økonomiske rammer for 2018.</t>
  </si>
  <si>
    <t>Kontrol med overholdelse af den økonomiske ramme for 2017</t>
  </si>
  <si>
    <t>- Heraf Faktisk eller planlagt genanbringelse af væsentlige indtægter</t>
  </si>
  <si>
    <t>Indregning af difference hvis negativ</t>
  </si>
  <si>
    <t>Antal år i reguleringsperiode</t>
  </si>
  <si>
    <t>Fordeling af difference per år i reguleringsperiode</t>
  </si>
  <si>
    <t>Til indregning i de økonomiske rammer for 2021-2024</t>
  </si>
  <si>
    <t>Fradrag i den økonomiske ramme for 2021-2024 i alt (2017-prisniveau)</t>
  </si>
  <si>
    <t>Fradrag i den økonomiske ramme for 2021-2024 i alt (2021-prisniveau)</t>
  </si>
  <si>
    <t>Fradrag for kontrol med overholdelse af indtægtsrammen i 2017</t>
  </si>
  <si>
    <t>Kontrol med overholdelse af indtægtsrammer</t>
  </si>
  <si>
    <t>Kontrol for overholdelse af indtægtsrammen i prisloft 2016</t>
  </si>
  <si>
    <t>Samlet korrektioner for overholdese af indtægtsrammer</t>
  </si>
  <si>
    <t>Korrektion af budgetterede omkostninger i prisloft 2016</t>
  </si>
  <si>
    <t>Fordeling af korrektion af prisloft 2016 per år i reguleringsperiode</t>
  </si>
  <si>
    <t>Fordeling af kontrol af prisloft 2016 per år i reguleringsperiode</t>
  </si>
  <si>
    <t>Tillæg/fradrag i den økonomiske ramme for 2021-2024 i alt (2021-prisniveau)</t>
  </si>
  <si>
    <t>Fane 6: Korrektion og kontrol af prisloft 2016</t>
  </si>
  <si>
    <t>Korrektion prisloft 16</t>
  </si>
  <si>
    <t>Kontrol af ØR2017</t>
  </si>
  <si>
    <t>Tillæg/fradrag i den økonomiske ramme for 2021-2024 i alt (2016-prisniveau)</t>
  </si>
  <si>
    <t>Samlet økonomisk ramme for 2022</t>
  </si>
  <si>
    <t>Fane 5: Korrektion af ikke-påvirkelige omkostninger</t>
  </si>
  <si>
    <t>Fane 7: Historisk over- eller underdækning</t>
  </si>
  <si>
    <t>Fane 8: Kontrol med overholdelse af den økonomiske ramme for 2017</t>
  </si>
  <si>
    <t>Ikke-påvirkelige omkostninger i 2017-prisniveau</t>
  </si>
  <si>
    <t>Ikke-påvirkelige omkostninger i 2019-prisniveau</t>
  </si>
  <si>
    <t>Fane 4: Korrigeret grundlag til brug for den økonomiske ramme for 2021 og frem</t>
  </si>
  <si>
    <t>Korrigeret grundlag (i 2017-prisniveau)</t>
  </si>
  <si>
    <t>Korrigeret grundlag (i 2020-prisniveau)</t>
  </si>
  <si>
    <t>Fane 9: Anlægsprojekter igangsat inden 1. marts 2016</t>
  </si>
  <si>
    <t>Anlægsprojekter igangsat inden 1. marts 2016</t>
  </si>
  <si>
    <t>Anlægsprojekter igangsat inden 1. marts 2016 i alt</t>
  </si>
  <si>
    <t>Bortfald eller nedsættelse i alt i 2017-prisniveau</t>
  </si>
  <si>
    <t>Bortfald eller nedsættelse i alt i 2018-prisniveau</t>
  </si>
  <si>
    <t>Nye tillæg i alt i 2017-prisniveau</t>
  </si>
  <si>
    <t>Nye tillæg i alt i 2018-prisniveau</t>
  </si>
  <si>
    <t>Afgift til Forsyningsekretariatet</t>
  </si>
  <si>
    <t>Skatter og afgifter</t>
  </si>
  <si>
    <t>Periodevise driftsomkostninger under prisloftsbekendtgørelsen</t>
  </si>
  <si>
    <t>Bemærk desuden, at korrektion af ikke-påvirkelige omkostninger ikke er medtaget i denne opgørelse, men fremgår af fane 5.</t>
  </si>
  <si>
    <t>Ingen bortfald eller nedsættelse</t>
  </si>
  <si>
    <t>Samlet korrektioner for overholdelse af indtægtsrammer</t>
  </si>
  <si>
    <t>Fane 11: Bortfald eller nedsættelse af omkostninger til mål, medfinansiering eller udvidelse</t>
  </si>
  <si>
    <t>Fane 12: Nøgletal</t>
  </si>
  <si>
    <t>Korrektion af prislofterne for 2011-2015</t>
  </si>
  <si>
    <t>Korrektion af budgetterede omkostninger i prisloft 2011-2015</t>
  </si>
  <si>
    <t>Korrektion af prisudvikling, generelt og individuelt effektiviseringskrav i prisloft 2015</t>
  </si>
  <si>
    <t>Korrektion for overholdelse af indtægtsrammen i prisloft 2011-2015</t>
  </si>
  <si>
    <t>Ingen anlægsprojekter</t>
  </si>
  <si>
    <t>Afgift for ledningsført vand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</si>
</sst>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99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9" borderId="1" xfId="0" applyNumberFormat="1" applyFont="1" applyFill="1" applyBorder="1" applyAlignment="1" applyProtection="1">
      <alignment wrapText="1"/>
    </xf>
    <xf numFmtId="0" fontId="8" fillId="9" borderId="1" xfId="0" applyFont="1" applyFill="1" applyBorder="1" applyAlignment="1" applyProtection="1">
      <alignment wrapText="1"/>
    </xf>
    <xf numFmtId="0" fontId="8" fillId="9" borderId="4" xfId="0" applyFont="1" applyFill="1" applyBorder="1" applyAlignment="1" applyProtection="1">
      <alignment wrapText="1"/>
    </xf>
    <xf numFmtId="0" fontId="8" fillId="9" borderId="5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3" fontId="8" fillId="9" borderId="6" xfId="0" applyNumberFormat="1" applyFont="1" applyFill="1" applyBorder="1" applyProtection="1"/>
    <xf numFmtId="0" fontId="8" fillId="9" borderId="7" xfId="0" applyFont="1" applyFill="1" applyBorder="1" applyAlignment="1" applyProtection="1">
      <alignment wrapText="1"/>
    </xf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0" fontId="8" fillId="9" borderId="9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3" fontId="10" fillId="4" borderId="1" xfId="0" applyNumberFormat="1" applyFont="1" applyFill="1" applyBorder="1" applyProtection="1"/>
    <xf numFmtId="0" fontId="8" fillId="9" borderId="6" xfId="0" applyFont="1" applyFill="1" applyBorder="1" applyAlignment="1" applyProtection="1">
      <alignment wrapText="1"/>
    </xf>
    <xf numFmtId="0" fontId="8" fillId="9" borderId="0" xfId="0" applyFont="1" applyFill="1" applyBorder="1" applyAlignment="1" applyProtection="1">
      <alignment wrapText="1"/>
    </xf>
    <xf numFmtId="3" fontId="7" fillId="3" borderId="1" xfId="0" applyNumberFormat="1" applyFont="1" applyFill="1" applyBorder="1" applyAlignment="1" applyProtection="1">
      <alignment wrapText="1"/>
    </xf>
    <xf numFmtId="0" fontId="7" fillId="3" borderId="1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0" fontId="8" fillId="9" borderId="2" xfId="0" applyFont="1" applyFill="1" applyBorder="1" applyAlignment="1" applyProtection="1">
      <alignment wrapText="1"/>
    </xf>
    <xf numFmtId="0" fontId="8" fillId="9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9" borderId="2" xfId="0" quotePrefix="1" applyFont="1" applyFill="1" applyBorder="1" applyAlignment="1" applyProtection="1"/>
    <xf numFmtId="0" fontId="8" fillId="9" borderId="2" xfId="0" applyFont="1" applyFill="1" applyBorder="1" applyAlignment="1" applyProtection="1"/>
    <xf numFmtId="0" fontId="8" fillId="9" borderId="10" xfId="0" applyFont="1" applyFill="1" applyBorder="1" applyAlignment="1" applyProtection="1"/>
    <xf numFmtId="0" fontId="8" fillId="9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0" fontId="7" fillId="3" borderId="10" xfId="0" applyFont="1" applyFill="1" applyBorder="1" applyAlignment="1" applyProtection="1">
      <alignment wrapText="1"/>
    </xf>
    <xf numFmtId="0" fontId="7" fillId="3" borderId="3" xfId="0" applyFont="1" applyFill="1" applyBorder="1" applyAlignment="1" applyProtection="1">
      <alignment wrapText="1"/>
    </xf>
    <xf numFmtId="0" fontId="10" fillId="4" borderId="2" xfId="0" applyFont="1" applyFill="1" applyBorder="1" applyAlignment="1" applyProtection="1"/>
    <xf numFmtId="0" fontId="10" fillId="4" borderId="10" xfId="0" applyFont="1" applyFill="1" applyBorder="1" applyAlignment="1" applyProtection="1"/>
    <xf numFmtId="0" fontId="10" fillId="4" borderId="3" xfId="0" applyFont="1" applyFill="1" applyBorder="1" applyAlignment="1" applyProtection="1"/>
    <xf numFmtId="0" fontId="8" fillId="2" borderId="0" xfId="0" applyFont="1" applyFill="1" applyAlignment="1" applyProtection="1">
      <alignment wrapText="1"/>
    </xf>
    <xf numFmtId="3" fontId="8" fillId="4" borderId="3" xfId="0" applyNumberFormat="1" applyFont="1" applyFill="1" applyBorder="1" applyProtection="1"/>
    <xf numFmtId="49" fontId="8" fillId="9" borderId="2" xfId="0" applyNumberFormat="1" applyFont="1" applyFill="1" applyBorder="1" applyAlignment="1" applyProtection="1"/>
    <xf numFmtId="49" fontId="8" fillId="9" borderId="3" xfId="0" applyNumberFormat="1" applyFont="1" applyFill="1" applyBorder="1" applyAlignment="1" applyProtection="1"/>
    <xf numFmtId="3" fontId="8" fillId="9" borderId="1" xfId="0" applyNumberFormat="1" applyFont="1" applyFill="1" applyBorder="1" applyAlignment="1" applyProtection="1"/>
    <xf numFmtId="10" fontId="8" fillId="9" borderId="1" xfId="3" applyNumberFormat="1" applyFont="1" applyFill="1" applyBorder="1" applyAlignment="1" applyProtection="1"/>
    <xf numFmtId="10" fontId="8" fillId="9" borderId="3" xfId="3" applyNumberFormat="1" applyFont="1" applyFill="1" applyBorder="1" applyAlignment="1" applyProtection="1"/>
    <xf numFmtId="49" fontId="8" fillId="9" borderId="2" xfId="0" applyNumberFormat="1" applyFont="1" applyFill="1" applyBorder="1" applyAlignment="1" applyProtection="1">
      <alignment horizontal="left" wrapText="1"/>
    </xf>
    <xf numFmtId="1" fontId="8" fillId="9" borderId="1" xfId="0" applyNumberFormat="1" applyFont="1" applyFill="1" applyBorder="1" applyProtection="1"/>
    <xf numFmtId="0" fontId="1" fillId="3" borderId="6" xfId="1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/>
    </xf>
    <xf numFmtId="0" fontId="1" fillId="10" borderId="6" xfId="1" applyFont="1" applyFill="1" applyBorder="1" applyAlignment="1" applyProtection="1">
      <alignment horizontal="center"/>
    </xf>
    <xf numFmtId="0" fontId="1" fillId="10" borderId="0" xfId="1" applyFont="1" applyFill="1" applyBorder="1" applyAlignment="1" applyProtection="1">
      <alignment horizontal="center"/>
    </xf>
    <xf numFmtId="0" fontId="1" fillId="10" borderId="7" xfId="1" applyFont="1" applyFill="1" applyBorder="1" applyAlignment="1" applyProtection="1">
      <alignment horizontal="center"/>
    </xf>
    <xf numFmtId="0" fontId="1" fillId="8" borderId="6" xfId="1" applyFont="1" applyFill="1" applyBorder="1" applyAlignment="1" applyProtection="1">
      <alignment horizontal="center"/>
    </xf>
    <xf numFmtId="0" fontId="1" fillId="8" borderId="0" xfId="1" applyFont="1" applyFill="1" applyBorder="1" applyAlignment="1" applyProtection="1">
      <alignment horizontal="center"/>
    </xf>
    <xf numFmtId="0" fontId="1" fillId="8" borderId="7" xfId="1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7" borderId="6" xfId="1" applyFont="1" applyFill="1" applyBorder="1" applyAlignment="1" applyProtection="1">
      <alignment horizontal="center"/>
    </xf>
    <xf numFmtId="0" fontId="0" fillId="7" borderId="0" xfId="0" applyFill="1" applyBorder="1" applyAlignment="1" applyProtection="1">
      <alignment horizontal="center"/>
    </xf>
    <xf numFmtId="0" fontId="0" fillId="7" borderId="7" xfId="0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1" applyFont="1" applyFill="1" applyBorder="1" applyAlignment="1" applyProtection="1">
      <alignment horizontal="center"/>
    </xf>
    <xf numFmtId="0" fontId="1" fillId="5" borderId="0" xfId="1" applyFont="1" applyFill="1" applyBorder="1" applyAlignment="1" applyProtection="1">
      <alignment horizontal="center"/>
    </xf>
    <xf numFmtId="0" fontId="1" fillId="5" borderId="7" xfId="1" applyFont="1" applyFill="1" applyBorder="1" applyAlignment="1" applyProtection="1">
      <alignment horizontal="center"/>
    </xf>
    <xf numFmtId="0" fontId="13" fillId="6" borderId="6" xfId="1" applyFont="1" applyFill="1" applyBorder="1" applyAlignment="1" applyProtection="1">
      <alignment horizontal="center"/>
    </xf>
    <xf numFmtId="0" fontId="13" fillId="6" borderId="0" xfId="1" applyFont="1" applyFill="1" applyBorder="1" applyAlignment="1" applyProtection="1">
      <alignment horizontal="center"/>
    </xf>
    <xf numFmtId="0" fontId="13" fillId="6" borderId="7" xfId="1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quotePrefix="1" applyFont="1" applyFill="1" applyBorder="1" applyAlignment="1" applyProtection="1">
      <alignment horizontal="left"/>
    </xf>
    <xf numFmtId="0" fontId="8" fillId="9" borderId="10" xfId="0" quotePrefix="1" applyFont="1" applyFill="1" applyBorder="1" applyAlignment="1" applyProtection="1">
      <alignment horizontal="left"/>
    </xf>
    <xf numFmtId="0" fontId="8" fillId="9" borderId="3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</cellXfs>
  <cellStyles count="4">
    <cellStyle name="Link" xfId="1" builtinId="8"/>
    <cellStyle name="Normal" xfId="0" builtinId="0"/>
    <cellStyle name="Normal 12" xfId="2"/>
    <cellStyle name="Procent" xfId="3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8"/>
  <sheetViews>
    <sheetView showGridLines="0" tabSelected="1" view="pageLayout" zoomScaleNormal="100" workbookViewId="0"/>
  </sheetViews>
  <sheetFormatPr defaultColWidth="9.140625" defaultRowHeight="15" x14ac:dyDescent="0.25"/>
  <cols>
    <col min="1" max="1" width="8.28515625" style="2" customWidth="1"/>
    <col min="2" max="2" width="3.570312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9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72" t="s">
        <v>4</v>
      </c>
      <c r="E6" s="72"/>
      <c r="F6" s="72"/>
      <c r="G6" s="72"/>
      <c r="H6" s="3"/>
      <c r="I6" s="1"/>
    </row>
    <row r="7" spans="1:9" ht="15" customHeight="1" x14ac:dyDescent="0.25">
      <c r="A7" s="1"/>
      <c r="B7" s="1"/>
      <c r="C7" s="3"/>
      <c r="D7" s="72"/>
      <c r="E7" s="72"/>
      <c r="F7" s="72"/>
      <c r="G7" s="72"/>
      <c r="H7" s="3"/>
      <c r="I7" s="1"/>
    </row>
    <row r="8" spans="1:9" ht="15.75" x14ac:dyDescent="0.25">
      <c r="A8" s="1"/>
      <c r="B8" s="1"/>
      <c r="C8" s="4"/>
      <c r="D8" s="77" t="s">
        <v>103</v>
      </c>
      <c r="E8" s="77"/>
      <c r="F8" s="77"/>
      <c r="G8" s="77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76" t="s">
        <v>5</v>
      </c>
      <c r="E11" s="76"/>
      <c r="F11" s="76"/>
      <c r="G11" s="76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63" t="s">
        <v>32</v>
      </c>
      <c r="E13" s="64"/>
      <c r="F13" s="64"/>
      <c r="G13" s="65"/>
      <c r="H13" s="1"/>
      <c r="I13" s="1"/>
    </row>
    <row r="14" spans="1:9" x14ac:dyDescent="0.25">
      <c r="A14" s="1"/>
      <c r="B14" s="1"/>
      <c r="C14" s="6" t="s">
        <v>31</v>
      </c>
      <c r="D14" s="63" t="s">
        <v>96</v>
      </c>
      <c r="E14" s="64"/>
      <c r="F14" s="64"/>
      <c r="G14" s="65"/>
      <c r="H14" s="1"/>
      <c r="I14" s="1"/>
    </row>
    <row r="15" spans="1:9" x14ac:dyDescent="0.25">
      <c r="A15" s="1"/>
      <c r="B15" s="1"/>
      <c r="C15" s="6" t="s">
        <v>94</v>
      </c>
      <c r="D15" s="63" t="s">
        <v>97</v>
      </c>
      <c r="E15" s="64"/>
      <c r="F15" s="64"/>
      <c r="G15" s="65"/>
      <c r="H15" s="1"/>
      <c r="I15" s="1"/>
    </row>
    <row r="16" spans="1:9" x14ac:dyDescent="0.25">
      <c r="A16" s="1"/>
      <c r="B16" s="1"/>
      <c r="C16" s="6" t="s">
        <v>95</v>
      </c>
      <c r="D16" s="63" t="s">
        <v>132</v>
      </c>
      <c r="E16" s="64"/>
      <c r="F16" s="64"/>
      <c r="G16" s="65"/>
      <c r="H16" s="1"/>
      <c r="I16" s="1"/>
    </row>
    <row r="17" spans="1:9" x14ac:dyDescent="0.25">
      <c r="A17" s="1"/>
      <c r="B17" s="1"/>
      <c r="C17" s="6" t="s">
        <v>7</v>
      </c>
      <c r="D17" s="78" t="s">
        <v>98</v>
      </c>
      <c r="E17" s="79"/>
      <c r="F17" s="79"/>
      <c r="G17" s="80"/>
      <c r="H17" s="1"/>
      <c r="I17" s="1"/>
    </row>
    <row r="18" spans="1:9" x14ac:dyDescent="0.25">
      <c r="A18" s="1"/>
      <c r="B18" s="1"/>
      <c r="C18" s="6" t="s">
        <v>8</v>
      </c>
      <c r="D18" s="78" t="s">
        <v>100</v>
      </c>
      <c r="E18" s="79"/>
      <c r="F18" s="79"/>
      <c r="G18" s="80"/>
      <c r="H18" s="1"/>
      <c r="I18" s="1"/>
    </row>
    <row r="19" spans="1:9" x14ac:dyDescent="0.25">
      <c r="A19" s="1"/>
      <c r="B19" s="1"/>
      <c r="C19" s="6" t="s">
        <v>9</v>
      </c>
      <c r="D19" s="78" t="s">
        <v>99</v>
      </c>
      <c r="E19" s="79"/>
      <c r="F19" s="79"/>
      <c r="G19" s="80"/>
      <c r="H19" s="1"/>
      <c r="I19" s="1"/>
    </row>
    <row r="20" spans="1:9" x14ac:dyDescent="0.25">
      <c r="A20" s="1"/>
      <c r="B20" s="1"/>
      <c r="C20" s="6" t="s">
        <v>10</v>
      </c>
      <c r="D20" s="81" t="s">
        <v>129</v>
      </c>
      <c r="E20" s="82"/>
      <c r="F20" s="82"/>
      <c r="G20" s="83"/>
      <c r="H20" s="1"/>
      <c r="I20" s="1"/>
    </row>
    <row r="21" spans="1:9" x14ac:dyDescent="0.25">
      <c r="A21" s="1"/>
      <c r="B21" s="1"/>
      <c r="C21" s="6" t="s">
        <v>11</v>
      </c>
      <c r="D21" s="73" t="s">
        <v>101</v>
      </c>
      <c r="E21" s="74"/>
      <c r="F21" s="74"/>
      <c r="G21" s="75"/>
      <c r="H21" s="1"/>
      <c r="I21" s="1"/>
    </row>
    <row r="22" spans="1:9" x14ac:dyDescent="0.25">
      <c r="A22" s="1"/>
      <c r="B22" s="1"/>
      <c r="C22" s="6" t="s">
        <v>12</v>
      </c>
      <c r="D22" s="73" t="s">
        <v>130</v>
      </c>
      <c r="E22" s="74"/>
      <c r="F22" s="74"/>
      <c r="G22" s="75"/>
      <c r="H22" s="1"/>
      <c r="I22" s="1"/>
    </row>
    <row r="23" spans="1:9" x14ac:dyDescent="0.25">
      <c r="A23" s="1"/>
      <c r="B23" s="1"/>
      <c r="C23" s="6" t="s">
        <v>13</v>
      </c>
      <c r="D23" s="73" t="s">
        <v>104</v>
      </c>
      <c r="E23" s="74"/>
      <c r="F23" s="74"/>
      <c r="G23" s="75"/>
      <c r="H23" s="1"/>
      <c r="I23" s="1"/>
    </row>
    <row r="24" spans="1:9" x14ac:dyDescent="0.25">
      <c r="A24" s="1"/>
      <c r="B24" s="1"/>
      <c r="C24" s="6" t="s">
        <v>25</v>
      </c>
      <c r="D24" s="69" t="s">
        <v>28</v>
      </c>
      <c r="E24" s="70"/>
      <c r="F24" s="70"/>
      <c r="G24" s="71"/>
      <c r="H24" s="1"/>
      <c r="I24" s="1"/>
    </row>
    <row r="25" spans="1:9" x14ac:dyDescent="0.25">
      <c r="A25" s="1"/>
      <c r="B25" s="1"/>
      <c r="C25" s="6" t="s">
        <v>29</v>
      </c>
      <c r="D25" s="66" t="s">
        <v>102</v>
      </c>
      <c r="E25" s="67"/>
      <c r="F25" s="67"/>
      <c r="G25" s="68"/>
      <c r="H25" s="1"/>
      <c r="I25" s="1"/>
    </row>
    <row r="26" spans="1:9" x14ac:dyDescent="0.25">
      <c r="A26" s="1"/>
      <c r="B26" s="1"/>
      <c r="C26" s="6" t="s">
        <v>30</v>
      </c>
      <c r="D26" s="66" t="s">
        <v>65</v>
      </c>
      <c r="E26" s="67"/>
      <c r="F26" s="67"/>
      <c r="G26" s="68"/>
      <c r="H26" s="1"/>
      <c r="I26" s="1"/>
    </row>
    <row r="27" spans="1:9" x14ac:dyDescent="0.25">
      <c r="A27" s="1"/>
      <c r="B27" s="1"/>
      <c r="C27" s="6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7">
    <mergeCell ref="D6:G7"/>
    <mergeCell ref="D22:G22"/>
    <mergeCell ref="D23:G23"/>
    <mergeCell ref="D11:G11"/>
    <mergeCell ref="D8:G8"/>
    <mergeCell ref="D17:G17"/>
    <mergeCell ref="D18:G18"/>
    <mergeCell ref="D19:G19"/>
    <mergeCell ref="D20:G20"/>
    <mergeCell ref="D21:G21"/>
    <mergeCell ref="D13:G13"/>
    <mergeCell ref="D15:G15"/>
    <mergeCell ref="D16:G16"/>
    <mergeCell ref="D26:G26"/>
    <mergeCell ref="D24:G24"/>
    <mergeCell ref="D25:G25"/>
    <mergeCell ref="D14:G14"/>
  </mergeCells>
  <hyperlinks>
    <hyperlink ref="D14:G14" location="'Fane 2.2. Økonomisk ramme 2020'!A1" display="Samlet økonomisk ramme for 2020"/>
    <hyperlink ref="D17:G17" location="'Fane 3. Omkostninger i ØR2018'!A1" display="Omkostninger i ØR2018"/>
    <hyperlink ref="D18:G18" location="'Fane 4. Korrigeret grundlag'!A1" display="Korrigeret grundlag"/>
    <hyperlink ref="D19:G19" location="'Fane 5. Ikke-påvirkelige omk.'!A1" display="Ikke-påvirkelige omk."/>
    <hyperlink ref="D20:G20" location="'Fane 6. Korrektion prisloft 16'!A1" display="Korrektion prisloft 16"/>
    <hyperlink ref="D21:G21" location="'Fane 7. Hist. over el. underdæk'!A1" display="Hist. over el. underdæk"/>
    <hyperlink ref="D22:G22" location="'Fane 8. Kontrol af ØR2017'!A1" display="Kontrol af ØR2017"/>
    <hyperlink ref="D23:G23" location="'Fane 9. Anlægsprojekter'!A1" display="Anlægsprojekter"/>
    <hyperlink ref="D25:G25" location="'Fane 11. Bortfald'!A1" display="Bortfald"/>
    <hyperlink ref="D13:G13" location="'Fane 2.1. Økonomisk ramme 2019'!A1" display="Samlet økonomisk ramme for 2019"/>
    <hyperlink ref="D16:G16" location="'Fane 2.4. Økonomisk ramme 2022'!A1" display="Samlet økonomisk ramme for 2022"/>
    <hyperlink ref="D15:G15" location="'Fane 2.3. Økonomisk ramme 2021'!A1" display="Samlet økonomisk ramme for 2021"/>
    <hyperlink ref="D24:G24" location="'Fane 10. Tillæg'!A1" display="Tillæg"/>
    <hyperlink ref="D26:G26" location="'Fane 12. Nøgletal'!A1" display="Nøgletal"/>
  </hyperlinks>
  <pageMargins left="0.88541666666666663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4" t="s">
        <v>134</v>
      </c>
      <c r="C3" s="84"/>
      <c r="D3" s="84"/>
      <c r="E3" s="84"/>
      <c r="F3" s="84"/>
      <c r="G3" s="84"/>
      <c r="H3" s="84"/>
      <c r="I3" s="1"/>
    </row>
    <row r="4" spans="1:9" ht="15" customHeight="1" x14ac:dyDescent="0.25">
      <c r="A4" s="1"/>
      <c r="B4" s="84"/>
      <c r="C4" s="84"/>
      <c r="D4" s="84"/>
      <c r="E4" s="84"/>
      <c r="F4" s="84"/>
      <c r="G4" s="84"/>
      <c r="H4" s="84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8" t="s">
        <v>22</v>
      </c>
      <c r="C8" s="39"/>
      <c r="D8" s="39"/>
      <c r="E8" s="39"/>
      <c r="F8" s="39"/>
      <c r="G8" s="39"/>
      <c r="H8" s="40"/>
      <c r="I8" s="1"/>
    </row>
    <row r="9" spans="1:9" x14ac:dyDescent="0.25">
      <c r="A9" s="1"/>
      <c r="B9" s="45" t="s">
        <v>17</v>
      </c>
      <c r="C9" s="46"/>
      <c r="D9" s="46"/>
      <c r="E9" s="46"/>
      <c r="F9" s="47"/>
      <c r="G9" s="11">
        <v>-11303285</v>
      </c>
      <c r="H9" s="22" t="s">
        <v>3</v>
      </c>
      <c r="I9" s="1"/>
    </row>
    <row r="10" spans="1:9" x14ac:dyDescent="0.25">
      <c r="A10" s="1"/>
      <c r="B10" s="45" t="s">
        <v>55</v>
      </c>
      <c r="C10" s="46"/>
      <c r="D10" s="46"/>
      <c r="E10" s="46"/>
      <c r="F10" s="47"/>
      <c r="G10" s="11">
        <v>-8970412</v>
      </c>
      <c r="H10" s="22" t="s">
        <v>3</v>
      </c>
      <c r="I10" s="1"/>
    </row>
    <row r="11" spans="1:9" x14ac:dyDescent="0.25">
      <c r="A11" s="1"/>
      <c r="B11" s="51" t="s">
        <v>19</v>
      </c>
      <c r="C11" s="52"/>
      <c r="D11" s="52"/>
      <c r="E11" s="52"/>
      <c r="F11" s="53"/>
      <c r="G11" s="31">
        <f>G9-G10</f>
        <v>-2332873</v>
      </c>
      <c r="H11" s="26" t="s">
        <v>3</v>
      </c>
      <c r="I11" s="1"/>
    </row>
    <row r="12" spans="1:9" x14ac:dyDescent="0.25">
      <c r="A12" s="1"/>
      <c r="B12" s="45" t="s">
        <v>18</v>
      </c>
      <c r="C12" s="46"/>
      <c r="D12" s="46"/>
      <c r="E12" s="46"/>
      <c r="F12" s="47"/>
      <c r="G12" s="11">
        <v>2</v>
      </c>
      <c r="H12" s="22" t="s">
        <v>42</v>
      </c>
      <c r="I12" s="1"/>
    </row>
    <row r="13" spans="1:9" x14ac:dyDescent="0.25">
      <c r="A13" s="1"/>
      <c r="B13" s="38" t="s">
        <v>16</v>
      </c>
      <c r="C13" s="39"/>
      <c r="D13" s="39"/>
      <c r="E13" s="39"/>
      <c r="F13" s="40"/>
      <c r="G13" s="20">
        <f>IF(G12 = 0,0,G11/G12)</f>
        <v>-1166436.5</v>
      </c>
      <c r="H13" s="21" t="s">
        <v>3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2.85546875" style="2" customWidth="1"/>
    <col min="2" max="3" width="9.140625" style="2"/>
    <col min="4" max="4" width="31.5703125" style="2" customWidth="1"/>
    <col min="5" max="5" width="12.42578125" style="2" customWidth="1"/>
    <col min="6" max="6" width="3.28515625" style="2" customWidth="1"/>
    <col min="7" max="7" width="10.7109375" style="2" customWidth="1"/>
    <col min="8" max="8" width="3.28515625" style="2" customWidth="1"/>
    <col min="9" max="9" width="3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86" t="s">
        <v>135</v>
      </c>
      <c r="C3" s="86"/>
      <c r="D3" s="86"/>
      <c r="E3" s="86"/>
      <c r="F3" s="86"/>
      <c r="G3" s="86"/>
      <c r="H3" s="86"/>
      <c r="I3" s="1"/>
    </row>
    <row r="4" spans="1:9" ht="1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0" t="s">
        <v>112</v>
      </c>
      <c r="C8" s="91"/>
      <c r="D8" s="91"/>
      <c r="E8" s="91"/>
      <c r="F8" s="91"/>
      <c r="G8" s="91"/>
      <c r="H8" s="92"/>
      <c r="I8" s="1"/>
    </row>
    <row r="9" spans="1:9" x14ac:dyDescent="0.25">
      <c r="A9" s="1"/>
      <c r="B9" s="93" t="s">
        <v>105</v>
      </c>
      <c r="C9" s="94"/>
      <c r="D9" s="95"/>
      <c r="E9" s="11">
        <v>3426146.7537767235</v>
      </c>
      <c r="F9" s="22" t="s">
        <v>3</v>
      </c>
      <c r="G9" s="19"/>
      <c r="H9" s="27"/>
      <c r="I9" s="1"/>
    </row>
    <row r="10" spans="1:9" x14ac:dyDescent="0.25">
      <c r="A10" s="1"/>
      <c r="B10" s="93" t="s">
        <v>106</v>
      </c>
      <c r="C10" s="94"/>
      <c r="D10" s="95"/>
      <c r="E10" s="11">
        <v>3210917</v>
      </c>
      <c r="F10" s="22" t="s">
        <v>3</v>
      </c>
      <c r="G10" s="14"/>
      <c r="H10" s="28"/>
      <c r="I10" s="1"/>
    </row>
    <row r="11" spans="1:9" x14ac:dyDescent="0.25">
      <c r="A11" s="1"/>
      <c r="B11" s="93" t="s">
        <v>113</v>
      </c>
      <c r="C11" s="94"/>
      <c r="D11" s="95"/>
      <c r="E11" s="11">
        <v>0</v>
      </c>
      <c r="F11" s="22" t="s">
        <v>3</v>
      </c>
      <c r="G11" s="14"/>
      <c r="H11" s="28"/>
      <c r="I11" s="1"/>
    </row>
    <row r="12" spans="1:9" x14ac:dyDescent="0.25">
      <c r="A12" s="1"/>
      <c r="B12" s="96" t="s">
        <v>107</v>
      </c>
      <c r="C12" s="97"/>
      <c r="D12" s="98"/>
      <c r="E12" s="17">
        <f>E9-(E10-E11)</f>
        <v>215229.75377672352</v>
      </c>
      <c r="F12" s="25" t="s">
        <v>3</v>
      </c>
      <c r="G12" s="17">
        <f>E12</f>
        <v>215229.75377672352</v>
      </c>
      <c r="H12" s="25" t="s">
        <v>3</v>
      </c>
      <c r="I12" s="1"/>
    </row>
    <row r="13" spans="1:9" x14ac:dyDescent="0.25">
      <c r="A13" s="1"/>
      <c r="B13" s="38"/>
      <c r="C13" s="39"/>
      <c r="D13" s="39"/>
      <c r="E13" s="39"/>
      <c r="F13" s="39"/>
      <c r="G13" s="39"/>
      <c r="H13" s="40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90" t="s">
        <v>117</v>
      </c>
      <c r="C17" s="91"/>
      <c r="D17" s="91"/>
      <c r="E17" s="91"/>
      <c r="F17" s="91"/>
      <c r="G17" s="91"/>
      <c r="H17" s="92"/>
      <c r="I17" s="1"/>
    </row>
    <row r="18" spans="1:9" x14ac:dyDescent="0.25">
      <c r="A18" s="1"/>
      <c r="B18" s="87" t="s">
        <v>114</v>
      </c>
      <c r="C18" s="88"/>
      <c r="D18" s="89"/>
      <c r="E18" s="11">
        <f>IF(E12&lt;0,E12,0)</f>
        <v>0</v>
      </c>
      <c r="F18" s="22" t="s">
        <v>3</v>
      </c>
      <c r="G18" s="14"/>
      <c r="H18" s="28"/>
      <c r="I18" s="1"/>
    </row>
    <row r="19" spans="1:9" x14ac:dyDescent="0.25">
      <c r="A19" s="1"/>
      <c r="B19" s="87" t="s">
        <v>115</v>
      </c>
      <c r="C19" s="88"/>
      <c r="D19" s="89"/>
      <c r="E19" s="11">
        <v>4</v>
      </c>
      <c r="F19" s="22" t="s">
        <v>42</v>
      </c>
      <c r="G19" s="14"/>
      <c r="H19" s="28"/>
      <c r="I19" s="1"/>
    </row>
    <row r="20" spans="1:9" x14ac:dyDescent="0.25">
      <c r="A20" s="1"/>
      <c r="B20" s="87" t="s">
        <v>116</v>
      </c>
      <c r="C20" s="88"/>
      <c r="D20" s="89"/>
      <c r="E20" s="11">
        <f>E18/E19</f>
        <v>0</v>
      </c>
      <c r="F20" s="22" t="s">
        <v>3</v>
      </c>
      <c r="G20" s="14"/>
      <c r="H20" s="28"/>
      <c r="I20" s="1"/>
    </row>
    <row r="21" spans="1:9" x14ac:dyDescent="0.25">
      <c r="A21" s="1"/>
      <c r="B21" s="90" t="s">
        <v>118</v>
      </c>
      <c r="C21" s="91"/>
      <c r="D21" s="91"/>
      <c r="E21" s="91"/>
      <c r="F21" s="92"/>
      <c r="G21" s="20">
        <f>E20</f>
        <v>0</v>
      </c>
      <c r="H21" s="21" t="s">
        <v>3</v>
      </c>
      <c r="I21" s="1"/>
    </row>
    <row r="22" spans="1:9" x14ac:dyDescent="0.25">
      <c r="A22" s="1"/>
      <c r="B22" s="90" t="s">
        <v>119</v>
      </c>
      <c r="C22" s="91"/>
      <c r="D22" s="91"/>
      <c r="E22" s="91"/>
      <c r="F22" s="92"/>
      <c r="G22" s="20">
        <f>G21*(1+Prisudvikling2019)^4</f>
        <v>0</v>
      </c>
      <c r="H22" s="21" t="s">
        <v>3</v>
      </c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password="DFE9" sheet="1" objects="1" scenarios="1"/>
  <mergeCells count="12">
    <mergeCell ref="B22:F22"/>
    <mergeCell ref="B17:H17"/>
    <mergeCell ref="B18:D18"/>
    <mergeCell ref="B19:D19"/>
    <mergeCell ref="B20:D20"/>
    <mergeCell ref="B21:F21"/>
    <mergeCell ref="B12:D12"/>
    <mergeCell ref="B3:H4"/>
    <mergeCell ref="B8:H8"/>
    <mergeCell ref="B9:D9"/>
    <mergeCell ref="B10:D10"/>
    <mergeCell ref="B11:D11"/>
  </mergeCells>
  <pageMargins left="0.6875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15.85546875" style="2" customWidth="1"/>
    <col min="3" max="3" width="10" style="2" customWidth="1"/>
    <col min="4" max="4" width="18.7109375" style="2" customWidth="1"/>
    <col min="5" max="5" width="9.85546875" style="2" customWidth="1"/>
    <col min="6" max="6" width="10.7109375" style="2" customWidth="1"/>
    <col min="7" max="7" width="11.28515625" style="2" customWidth="1"/>
    <col min="8" max="8" width="3.28515625" style="2" customWidth="1"/>
    <col min="9" max="9" width="4.85546875" style="2" customWidth="1"/>
    <col min="10" max="10" width="3.28515625" style="2" customWidth="1"/>
    <col min="11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4" t="s">
        <v>141</v>
      </c>
      <c r="C3" s="84"/>
      <c r="D3" s="84"/>
      <c r="E3" s="84"/>
      <c r="F3" s="84"/>
      <c r="G3" s="84"/>
      <c r="H3" s="84"/>
      <c r="I3" s="1"/>
    </row>
    <row r="4" spans="1:9" ht="15" customHeight="1" x14ac:dyDescent="0.25">
      <c r="A4" s="1"/>
      <c r="B4" s="84"/>
      <c r="C4" s="84"/>
      <c r="D4" s="84"/>
      <c r="E4" s="84"/>
      <c r="F4" s="84"/>
      <c r="G4" s="84"/>
      <c r="H4" s="84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0" t="s">
        <v>142</v>
      </c>
      <c r="C8" s="91"/>
      <c r="D8" s="91"/>
      <c r="E8" s="91"/>
      <c r="F8" s="91"/>
      <c r="G8" s="91"/>
      <c r="H8" s="92"/>
      <c r="I8" s="1"/>
    </row>
    <row r="9" spans="1:9" ht="39" customHeight="1" x14ac:dyDescent="0.25">
      <c r="A9" s="1"/>
      <c r="B9" s="37" t="s">
        <v>0</v>
      </c>
      <c r="C9" s="37" t="s">
        <v>1</v>
      </c>
      <c r="D9" s="37" t="s">
        <v>109</v>
      </c>
      <c r="E9" s="18" t="s">
        <v>2</v>
      </c>
      <c r="F9" s="18" t="s">
        <v>88</v>
      </c>
      <c r="G9" s="18" t="s">
        <v>89</v>
      </c>
      <c r="H9" s="36"/>
      <c r="I9" s="1"/>
    </row>
    <row r="10" spans="1:9" ht="26.25" x14ac:dyDescent="0.25">
      <c r="A10" s="1"/>
      <c r="B10" s="61" t="s">
        <v>160</v>
      </c>
      <c r="C10" s="62"/>
      <c r="D10" s="11"/>
      <c r="E10" s="11"/>
      <c r="F10" s="11"/>
      <c r="G10" s="11"/>
      <c r="H10" s="22" t="s">
        <v>3</v>
      </c>
      <c r="I10" s="1"/>
    </row>
    <row r="11" spans="1:9" x14ac:dyDescent="0.25">
      <c r="A11" s="1"/>
      <c r="B11" s="90" t="s">
        <v>143</v>
      </c>
      <c r="C11" s="91"/>
      <c r="D11" s="92"/>
      <c r="E11" s="20">
        <f>SUM(E10:E10)</f>
        <v>0</v>
      </c>
      <c r="F11" s="20">
        <f>SUM(F10:F10)</f>
        <v>0</v>
      </c>
      <c r="G11" s="20">
        <f>SUM(G10:G10)</f>
        <v>0</v>
      </c>
      <c r="H11" s="21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password="DFE9" sheet="1" objects="1" scenarios="1"/>
  <mergeCells count="3">
    <mergeCell ref="B3:H4"/>
    <mergeCell ref="B11:D11"/>
    <mergeCell ref="B8:H8"/>
  </mergeCells>
  <pageMargins left="0.5208333333333333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48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33.7109375" style="2" customWidth="1"/>
    <col min="3" max="3" width="5.42578125" style="2" hidden="1" customWidth="1"/>
    <col min="4" max="4" width="16.28515625" style="2" customWidth="1"/>
    <col min="5" max="5" width="3.28515625" style="2" customWidth="1"/>
    <col min="6" max="6" width="17.5703125" style="2" customWidth="1"/>
    <col min="7" max="7" width="3.28515625" style="2" customWidth="1"/>
    <col min="8" max="8" width="6.710937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4" t="s">
        <v>93</v>
      </c>
      <c r="C3" s="84"/>
      <c r="D3" s="84"/>
      <c r="E3" s="84"/>
      <c r="F3" s="84"/>
      <c r="G3" s="84"/>
      <c r="H3" s="1"/>
    </row>
    <row r="4" spans="1:8" ht="15" customHeight="1" x14ac:dyDescent="0.25">
      <c r="A4" s="1"/>
      <c r="B4" s="84"/>
      <c r="C4" s="84"/>
      <c r="D4" s="84"/>
      <c r="E4" s="84"/>
      <c r="F4" s="84"/>
      <c r="G4" s="84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8" t="s">
        <v>44</v>
      </c>
      <c r="C8" s="39"/>
      <c r="D8" s="39"/>
      <c r="E8" s="39"/>
      <c r="F8" s="39"/>
      <c r="G8" s="40"/>
      <c r="H8" s="1"/>
    </row>
    <row r="9" spans="1:8" ht="15" customHeight="1" x14ac:dyDescent="0.25">
      <c r="A9" s="1"/>
      <c r="B9" s="29" t="s">
        <v>38</v>
      </c>
      <c r="C9" s="36"/>
      <c r="D9" s="29" t="s">
        <v>20</v>
      </c>
      <c r="E9" s="36"/>
      <c r="F9" s="29" t="s">
        <v>110</v>
      </c>
      <c r="G9" s="36"/>
      <c r="H9" s="1"/>
    </row>
    <row r="10" spans="1:8" x14ac:dyDescent="0.25">
      <c r="A10" s="1"/>
      <c r="B10" s="56" t="s">
        <v>142</v>
      </c>
      <c r="C10" s="57"/>
      <c r="D10" s="58">
        <f>'Fane 9. Anlægsprojekter'!F11</f>
        <v>0</v>
      </c>
      <c r="E10" s="22" t="s">
        <v>3</v>
      </c>
      <c r="F10" s="11">
        <f>SUM('Fane 9. Anlægsprojekter'!E11,'Fane 9. Anlægsprojekter'!G11)</f>
        <v>0</v>
      </c>
      <c r="G10" s="22" t="s">
        <v>3</v>
      </c>
      <c r="H10" s="1"/>
    </row>
    <row r="11" spans="1:8" x14ac:dyDescent="0.25">
      <c r="A11" s="1"/>
      <c r="B11" s="38" t="s">
        <v>146</v>
      </c>
      <c r="C11" s="40"/>
      <c r="D11" s="20">
        <f>SUM(D10:D10)</f>
        <v>0</v>
      </c>
      <c r="E11" s="21" t="s">
        <v>3</v>
      </c>
      <c r="F11" s="20">
        <f>SUM(F10:F10)</f>
        <v>0</v>
      </c>
      <c r="G11" s="21" t="s">
        <v>3</v>
      </c>
      <c r="H11" s="1"/>
    </row>
    <row r="12" spans="1:8" x14ac:dyDescent="0.25">
      <c r="A12" s="1"/>
      <c r="B12" s="38" t="s">
        <v>147</v>
      </c>
      <c r="C12" s="40"/>
      <c r="D12" s="20">
        <f>D11*(1+Prisudvikling2019)</f>
        <v>0</v>
      </c>
      <c r="E12" s="21" t="s">
        <v>3</v>
      </c>
      <c r="F12" s="20">
        <f>F11*(1+Prisudvikling2019)</f>
        <v>0</v>
      </c>
      <c r="G12" s="21" t="s">
        <v>3</v>
      </c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</sheetData>
  <sheetProtection password="DFE9" sheet="1" objects="1" scenarios="1"/>
  <mergeCells count="1">
    <mergeCell ref="B3:G4"/>
  </mergeCells>
  <pageMargins left="0.6458333333333333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3.28515625" style="2" customWidth="1"/>
    <col min="2" max="2" width="38.140625" style="2" customWidth="1"/>
    <col min="3" max="3" width="16.7109375" style="2" customWidth="1"/>
    <col min="4" max="4" width="3.28515625" style="2" customWidth="1"/>
    <col min="5" max="5" width="18" style="2" customWidth="1"/>
    <col min="6" max="6" width="3.28515625" style="2" customWidth="1"/>
    <col min="7" max="7" width="3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154</v>
      </c>
      <c r="C3" s="86"/>
      <c r="D3" s="86"/>
      <c r="E3" s="86"/>
      <c r="F3" s="86"/>
      <c r="G3" s="1"/>
    </row>
    <row r="4" spans="1:7" ht="25.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39</v>
      </c>
      <c r="C8" s="39"/>
      <c r="D8" s="39"/>
      <c r="E8" s="39"/>
      <c r="F8" s="40"/>
      <c r="G8" s="1"/>
    </row>
    <row r="9" spans="1:7" ht="15" customHeight="1" x14ac:dyDescent="0.25">
      <c r="A9" s="1"/>
      <c r="B9" s="29" t="s">
        <v>40</v>
      </c>
      <c r="C9" s="29" t="s">
        <v>20</v>
      </c>
      <c r="D9" s="36"/>
      <c r="E9" s="29" t="s">
        <v>110</v>
      </c>
      <c r="F9" s="36"/>
      <c r="G9" s="1"/>
    </row>
    <row r="10" spans="1:7" x14ac:dyDescent="0.25">
      <c r="A10" s="1"/>
      <c r="B10" s="56" t="s">
        <v>152</v>
      </c>
      <c r="C10" s="11">
        <v>0</v>
      </c>
      <c r="D10" s="22" t="s">
        <v>3</v>
      </c>
      <c r="E10" s="11">
        <v>0</v>
      </c>
      <c r="F10" s="22" t="s">
        <v>3</v>
      </c>
      <c r="G10" s="1"/>
    </row>
    <row r="11" spans="1:7" x14ac:dyDescent="0.25">
      <c r="A11" s="1"/>
      <c r="B11" s="38" t="s">
        <v>144</v>
      </c>
      <c r="C11" s="20">
        <f>SUM(C10:C10)</f>
        <v>0</v>
      </c>
      <c r="D11" s="21" t="s">
        <v>3</v>
      </c>
      <c r="E11" s="20">
        <f>SUM(E10:E10)</f>
        <v>0</v>
      </c>
      <c r="F11" s="21" t="s">
        <v>3</v>
      </c>
      <c r="G11" s="1"/>
    </row>
    <row r="12" spans="1:7" x14ac:dyDescent="0.25">
      <c r="A12" s="1"/>
      <c r="B12" s="38" t="s">
        <v>145</v>
      </c>
      <c r="C12" s="20">
        <f>C11*(1+Prisudvikling2019)</f>
        <v>0</v>
      </c>
      <c r="D12" s="21" t="s">
        <v>3</v>
      </c>
      <c r="E12" s="20">
        <f>E11*(1+Prisudvikling2019)</f>
        <v>0</v>
      </c>
      <c r="F12" s="2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H49"/>
  <sheetViews>
    <sheetView showGridLines="0" view="pageLayout" zoomScaleNormal="100" workbookViewId="0"/>
  </sheetViews>
  <sheetFormatPr defaultColWidth="9.140625" defaultRowHeight="15" x14ac:dyDescent="0.25"/>
  <cols>
    <col min="1" max="1" width="9.7109375" style="2" customWidth="1"/>
    <col min="2" max="2" width="37.85546875" style="2" customWidth="1"/>
    <col min="3" max="3" width="12" style="2" customWidth="1"/>
    <col min="4" max="4" width="3.28515625" style="2" customWidth="1"/>
    <col min="5" max="5" width="4.5703125" style="2" customWidth="1"/>
    <col min="6" max="6" width="7.7109375" style="2" customWidth="1"/>
    <col min="7" max="7" width="5.140625" style="2" hidden="1" customWidth="1"/>
    <col min="8" max="8" width="9.8554687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6" t="s">
        <v>155</v>
      </c>
      <c r="C3" s="86"/>
      <c r="D3" s="86"/>
      <c r="E3" s="86"/>
      <c r="F3" s="86"/>
      <c r="G3" s="1"/>
      <c r="H3" s="1"/>
    </row>
    <row r="4" spans="1:8" ht="25.5" customHeight="1" x14ac:dyDescent="0.25">
      <c r="A4" s="1"/>
      <c r="B4" s="86"/>
      <c r="C4" s="86"/>
      <c r="D4" s="86"/>
      <c r="E4" s="86"/>
      <c r="F4" s="86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8" t="s">
        <v>26</v>
      </c>
      <c r="C8" s="39"/>
      <c r="D8" s="39"/>
      <c r="E8" s="39"/>
      <c r="F8" s="40"/>
      <c r="G8" s="40"/>
      <c r="H8" s="1"/>
    </row>
    <row r="9" spans="1:8" x14ac:dyDescent="0.25">
      <c r="A9" s="1"/>
      <c r="B9" s="45" t="s">
        <v>52</v>
      </c>
      <c r="C9" s="46"/>
      <c r="D9" s="46"/>
      <c r="E9" s="47"/>
      <c r="F9" s="59">
        <v>1.2699999999999999E-2</v>
      </c>
      <c r="G9" s="60"/>
      <c r="H9" s="1"/>
    </row>
    <row r="10" spans="1:8" x14ac:dyDescent="0.25">
      <c r="A10" s="1"/>
      <c r="B10" s="45" t="s">
        <v>53</v>
      </c>
      <c r="C10" s="46"/>
      <c r="D10" s="46"/>
      <c r="E10" s="47"/>
      <c r="F10" s="59">
        <v>1.7500000000000002E-2</v>
      </c>
      <c r="G10" s="60"/>
      <c r="H10" s="1"/>
    </row>
    <row r="11" spans="1:8" x14ac:dyDescent="0.25">
      <c r="A11" s="1"/>
      <c r="B11" s="45" t="s">
        <v>54</v>
      </c>
      <c r="C11" s="46"/>
      <c r="D11" s="46"/>
      <c r="E11" s="47"/>
      <c r="F11" s="59">
        <v>1.6899999999999998E-2</v>
      </c>
      <c r="G11" s="60"/>
      <c r="H11" s="1"/>
    </row>
    <row r="12" spans="1:8" x14ac:dyDescent="0.25">
      <c r="A12" s="1"/>
      <c r="B12" s="38"/>
      <c r="C12" s="39"/>
      <c r="D12" s="39"/>
      <c r="E12" s="39"/>
      <c r="F12" s="40"/>
      <c r="G12" s="40"/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38" t="s">
        <v>14</v>
      </c>
      <c r="C15" s="39"/>
      <c r="D15" s="39"/>
      <c r="E15" s="39"/>
      <c r="F15" s="40"/>
      <c r="G15" s="40"/>
      <c r="H15" s="1"/>
    </row>
    <row r="16" spans="1:8" x14ac:dyDescent="0.25">
      <c r="A16" s="1"/>
      <c r="B16" s="45" t="s">
        <v>14</v>
      </c>
      <c r="C16" s="46"/>
      <c r="D16" s="46"/>
      <c r="E16" s="47"/>
      <c r="F16" s="59">
        <v>1.7000000000000001E-2</v>
      </c>
      <c r="G16" s="60"/>
      <c r="H16" s="1"/>
    </row>
    <row r="17" spans="1:8" x14ac:dyDescent="0.25">
      <c r="A17" s="1"/>
      <c r="B17" s="38"/>
      <c r="C17" s="39"/>
      <c r="D17" s="39"/>
      <c r="E17" s="39"/>
      <c r="F17" s="40"/>
      <c r="G17" s="40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</sheetData>
  <sheetProtection password="DFE9" sheet="1" objects="1" scenarios="1"/>
  <mergeCells count="1">
    <mergeCell ref="B3:F4"/>
  </mergeCells>
  <pageMargins left="0.76041666666666663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140625" style="2" customWidth="1"/>
    <col min="4" max="4" width="3.85546875" style="2" customWidth="1"/>
    <col min="5" max="5" width="12.2851562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46</v>
      </c>
      <c r="C3" s="84"/>
      <c r="D3" s="84"/>
      <c r="E3" s="84"/>
      <c r="F3" s="84"/>
      <c r="G3" s="1"/>
    </row>
    <row r="4" spans="1:7" ht="1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24</v>
      </c>
      <c r="C8" s="39"/>
      <c r="D8" s="39"/>
      <c r="E8" s="39"/>
      <c r="F8" s="40"/>
      <c r="G8" s="1"/>
    </row>
    <row r="9" spans="1:7" x14ac:dyDescent="0.25">
      <c r="A9" s="1"/>
      <c r="B9" s="41" t="s">
        <v>59</v>
      </c>
      <c r="C9" s="7">
        <f>'Fane 3. Omkostninger i ØR2018'!G13</f>
        <v>3354966.8196845213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4" t="s">
        <v>49</v>
      </c>
      <c r="C10" s="7">
        <f>'Fane 3. Omkostninger i ØR2018'!G10</f>
        <v>0</v>
      </c>
      <c r="D10" s="8"/>
      <c r="E10" s="32"/>
      <c r="F10" s="13"/>
      <c r="G10" s="1"/>
    </row>
    <row r="11" spans="1:7" x14ac:dyDescent="0.25">
      <c r="A11" s="1"/>
      <c r="B11" s="42" t="s">
        <v>50</v>
      </c>
      <c r="C11" s="11">
        <f>SUM('Fane 10. Tillæg'!D12,'Fane 10. Tillæg'!F12)</f>
        <v>0</v>
      </c>
      <c r="D11" s="8" t="s">
        <v>3</v>
      </c>
      <c r="E11" s="12"/>
      <c r="F11" s="13"/>
      <c r="G11" s="1"/>
    </row>
    <row r="12" spans="1:7" ht="15" customHeight="1" x14ac:dyDescent="0.25">
      <c r="A12" s="1"/>
      <c r="B12" s="42" t="s">
        <v>51</v>
      </c>
      <c r="C12" s="11">
        <f>-SUM('Fane 11. Bortfald'!C12,'Fane 11. Bortfald'!E12)</f>
        <v>0</v>
      </c>
      <c r="D12" s="8" t="s">
        <v>3</v>
      </c>
      <c r="E12" s="12"/>
      <c r="F12" s="13"/>
      <c r="G12" s="1"/>
    </row>
    <row r="13" spans="1:7" ht="15" customHeight="1" x14ac:dyDescent="0.25">
      <c r="A13" s="1"/>
      <c r="B13" s="42" t="s">
        <v>41</v>
      </c>
      <c r="C13" s="11">
        <f>(C9-C10)*Prisudvikling2017+C10*Prisudvikling2018+SUM(C11:C12)*Prisudvikling2019</f>
        <v>42608.078609993419</v>
      </c>
      <c r="D13" s="8" t="s">
        <v>3</v>
      </c>
      <c r="E13" s="12"/>
      <c r="F13" s="13"/>
      <c r="G13" s="1"/>
    </row>
    <row r="14" spans="1:7" ht="15" customHeight="1" x14ac:dyDescent="0.25">
      <c r="A14" s="1"/>
      <c r="B14" s="42" t="s">
        <v>14</v>
      </c>
      <c r="C14" s="11">
        <f>-SUM(C9,C11:C13)*GenereltKrav</f>
        <v>-57758.77327100675</v>
      </c>
      <c r="D14" s="8" t="s">
        <v>3</v>
      </c>
      <c r="E14" s="15"/>
      <c r="F14" s="16"/>
      <c r="G14" s="1"/>
    </row>
    <row r="15" spans="1:7" x14ac:dyDescent="0.25">
      <c r="A15" s="1"/>
      <c r="B15" s="43" t="s">
        <v>45</v>
      </c>
      <c r="C15" s="17">
        <f>SUM(C9,C11:C14)</f>
        <v>3339816.125023508</v>
      </c>
      <c r="D15" s="18" t="s">
        <v>3</v>
      </c>
      <c r="E15" s="17">
        <f>C15</f>
        <v>3339816.125023508</v>
      </c>
      <c r="F15" s="18" t="s">
        <v>3</v>
      </c>
      <c r="G15" s="1"/>
    </row>
    <row r="16" spans="1:7" x14ac:dyDescent="0.25">
      <c r="A16" s="1"/>
      <c r="B16" s="38" t="s">
        <v>43</v>
      </c>
      <c r="C16" s="39"/>
      <c r="D16" s="39"/>
      <c r="E16" s="39"/>
      <c r="F16" s="40"/>
      <c r="G16" s="1"/>
    </row>
    <row r="17" spans="1:7" ht="15" customHeight="1" x14ac:dyDescent="0.25">
      <c r="A17" s="1"/>
      <c r="B17" s="42" t="s">
        <v>150</v>
      </c>
      <c r="C17" s="11">
        <v>0</v>
      </c>
      <c r="D17" s="8" t="s">
        <v>3</v>
      </c>
      <c r="E17" s="12"/>
      <c r="F17" s="13"/>
      <c r="G17" s="1"/>
    </row>
    <row r="18" spans="1:7" ht="15" customHeight="1" x14ac:dyDescent="0.25">
      <c r="A18" s="1"/>
      <c r="B18" s="42" t="s">
        <v>82</v>
      </c>
      <c r="C18" s="11">
        <f>-C17*GenereltKrav</f>
        <v>0</v>
      </c>
      <c r="D18" s="8" t="s">
        <v>3</v>
      </c>
      <c r="E18" s="12"/>
      <c r="F18" s="13"/>
      <c r="G18" s="1"/>
    </row>
    <row r="19" spans="1:7" ht="15" customHeight="1" x14ac:dyDescent="0.25">
      <c r="A19" s="1"/>
      <c r="B19" s="29" t="s">
        <v>83</v>
      </c>
      <c r="C19" s="17">
        <f>SUM(C17:C18)</f>
        <v>0</v>
      </c>
      <c r="D19" s="18" t="s">
        <v>3</v>
      </c>
      <c r="E19" s="17">
        <f>C19</f>
        <v>0</v>
      </c>
      <c r="F19" s="18" t="s">
        <v>3</v>
      </c>
      <c r="G19" s="1"/>
    </row>
    <row r="20" spans="1:7" x14ac:dyDescent="0.25">
      <c r="A20" s="1"/>
      <c r="B20" s="38" t="s">
        <v>21</v>
      </c>
      <c r="C20" s="39"/>
      <c r="D20" s="39"/>
      <c r="E20" s="39"/>
      <c r="F20" s="40"/>
      <c r="G20" s="1"/>
    </row>
    <row r="21" spans="1:7" ht="15" customHeight="1" x14ac:dyDescent="0.25">
      <c r="A21" s="1"/>
      <c r="B21" s="42" t="s">
        <v>21</v>
      </c>
      <c r="C21" s="11">
        <f>'Fane 5. Ikke-påvirkelige omk.'!E14</f>
        <v>1678139.9800482497</v>
      </c>
      <c r="D21" s="8" t="s">
        <v>3</v>
      </c>
      <c r="E21" s="12"/>
      <c r="F21" s="13"/>
      <c r="G21" s="1"/>
    </row>
    <row r="22" spans="1:7" ht="15" customHeight="1" x14ac:dyDescent="0.25">
      <c r="A22" s="1"/>
      <c r="B22" s="42" t="s">
        <v>85</v>
      </c>
      <c r="C22" s="11">
        <v>0</v>
      </c>
      <c r="D22" s="8" t="s">
        <v>3</v>
      </c>
      <c r="E22" s="12"/>
      <c r="F22" s="13"/>
      <c r="G22" s="1"/>
    </row>
    <row r="23" spans="1:7" ht="15" customHeight="1" x14ac:dyDescent="0.25">
      <c r="A23" s="1"/>
      <c r="B23" s="29" t="s">
        <v>86</v>
      </c>
      <c r="C23" s="17">
        <f>SUM(C21:C22)</f>
        <v>1678139.9800482497</v>
      </c>
      <c r="D23" s="18" t="s">
        <v>3</v>
      </c>
      <c r="E23" s="17">
        <f>C23</f>
        <v>1678139.9800482497</v>
      </c>
      <c r="F23" s="18" t="s">
        <v>3</v>
      </c>
      <c r="G23" s="1"/>
    </row>
    <row r="24" spans="1:7" ht="15" customHeight="1" x14ac:dyDescent="0.25">
      <c r="A24" s="1"/>
      <c r="B24" s="38" t="s">
        <v>87</v>
      </c>
      <c r="C24" s="39"/>
      <c r="D24" s="39"/>
      <c r="E24" s="39"/>
      <c r="F24" s="40"/>
      <c r="G24" s="1"/>
    </row>
    <row r="25" spans="1:7" ht="15" customHeight="1" x14ac:dyDescent="0.25">
      <c r="A25" s="1"/>
      <c r="B25" s="41" t="s">
        <v>61</v>
      </c>
      <c r="C25" s="7">
        <v>0</v>
      </c>
      <c r="D25" s="8" t="s">
        <v>3</v>
      </c>
      <c r="E25" s="9"/>
      <c r="F25" s="10"/>
      <c r="G25" s="1"/>
    </row>
    <row r="26" spans="1:7" ht="15" customHeight="1" x14ac:dyDescent="0.25">
      <c r="A26" s="1"/>
      <c r="B26" s="41" t="s">
        <v>62</v>
      </c>
      <c r="C26" s="7">
        <v>0</v>
      </c>
      <c r="D26" s="8" t="s">
        <v>3</v>
      </c>
      <c r="E26" s="33"/>
      <c r="F26" s="13"/>
      <c r="G26" s="1"/>
    </row>
    <row r="27" spans="1:7" ht="28.5" customHeight="1" x14ac:dyDescent="0.25">
      <c r="A27" s="1"/>
      <c r="B27" s="42" t="s">
        <v>63</v>
      </c>
      <c r="C27" s="7">
        <v>8489.4173988803323</v>
      </c>
      <c r="D27" s="8" t="s">
        <v>3</v>
      </c>
      <c r="E27" s="32"/>
      <c r="F27" s="13"/>
      <c r="G27" s="1"/>
    </row>
    <row r="28" spans="1:7" ht="15" customHeight="1" x14ac:dyDescent="0.25">
      <c r="A28" s="1"/>
      <c r="B28" s="29" t="s">
        <v>64</v>
      </c>
      <c r="C28" s="17">
        <f>SUM(C25:C27)</f>
        <v>8489.4173988803323</v>
      </c>
      <c r="D28" s="18" t="s">
        <v>3</v>
      </c>
      <c r="E28" s="17">
        <f>C28</f>
        <v>8489.4173988803323</v>
      </c>
      <c r="F28" s="18" t="s">
        <v>3</v>
      </c>
      <c r="G28" s="1"/>
    </row>
    <row r="29" spans="1:7" x14ac:dyDescent="0.25">
      <c r="A29" s="1"/>
      <c r="B29" s="38" t="s">
        <v>15</v>
      </c>
      <c r="C29" s="39"/>
      <c r="D29" s="39"/>
      <c r="E29" s="39"/>
      <c r="F29" s="40"/>
      <c r="G29" s="1"/>
    </row>
    <row r="30" spans="1:7" ht="15" customHeight="1" x14ac:dyDescent="0.25">
      <c r="A30" s="1"/>
      <c r="B30" s="29" t="s">
        <v>23</v>
      </c>
      <c r="C30" s="17">
        <f>'Fane 7. Hist. over el. underdæk'!G13</f>
        <v>-1166436.5</v>
      </c>
      <c r="D30" s="18" t="s">
        <v>3</v>
      </c>
      <c r="E30" s="17">
        <f>C30</f>
        <v>-1166436.5</v>
      </c>
      <c r="F30" s="18" t="s">
        <v>3</v>
      </c>
      <c r="G30" s="1"/>
    </row>
    <row r="31" spans="1:7" ht="15" customHeight="1" x14ac:dyDescent="0.25">
      <c r="A31" s="1"/>
      <c r="B31" s="38" t="s">
        <v>156</v>
      </c>
      <c r="C31" s="39"/>
      <c r="D31" s="39"/>
      <c r="E31" s="39"/>
      <c r="F31" s="40"/>
      <c r="G31" s="1"/>
    </row>
    <row r="32" spans="1:7" x14ac:dyDescent="0.25">
      <c r="A32" s="1"/>
      <c r="B32" s="41" t="s">
        <v>157</v>
      </c>
      <c r="C32" s="7">
        <v>-1529575.9908333332</v>
      </c>
      <c r="D32" s="8" t="s">
        <v>3</v>
      </c>
      <c r="E32" s="9"/>
      <c r="F32" s="10"/>
      <c r="G32" s="1"/>
    </row>
    <row r="33" spans="1:7" ht="26.25" x14ac:dyDescent="0.25">
      <c r="A33" s="1"/>
      <c r="B33" s="41" t="s">
        <v>158</v>
      </c>
      <c r="C33" s="7">
        <v>-7649.4248576389991</v>
      </c>
      <c r="D33" s="8" t="s">
        <v>3</v>
      </c>
      <c r="E33" s="33"/>
      <c r="F33" s="13"/>
      <c r="G33" s="1"/>
    </row>
    <row r="34" spans="1:7" ht="26.25" x14ac:dyDescent="0.25">
      <c r="A34" s="1"/>
      <c r="B34" s="42" t="s">
        <v>159</v>
      </c>
      <c r="C34" s="7">
        <v>1027589.25</v>
      </c>
      <c r="D34" s="8" t="s">
        <v>3</v>
      </c>
      <c r="E34" s="32"/>
      <c r="F34" s="13"/>
      <c r="G34" s="1"/>
    </row>
    <row r="35" spans="1:7" ht="15" customHeight="1" x14ac:dyDescent="0.25">
      <c r="A35" s="1"/>
      <c r="B35" s="29" t="s">
        <v>64</v>
      </c>
      <c r="C35" s="17">
        <f>SUM(C32:C34)</f>
        <v>-509636.16569097224</v>
      </c>
      <c r="D35" s="18" t="s">
        <v>3</v>
      </c>
      <c r="E35" s="17">
        <f>C35</f>
        <v>-509636.16569097224</v>
      </c>
      <c r="F35" s="18" t="s">
        <v>3</v>
      </c>
      <c r="G35" s="1"/>
    </row>
    <row r="36" spans="1:7" x14ac:dyDescent="0.25">
      <c r="A36" s="1"/>
      <c r="B36" s="38" t="s">
        <v>35</v>
      </c>
      <c r="C36" s="39"/>
      <c r="D36" s="40"/>
      <c r="E36" s="20">
        <f>SUM(E15,E19,E23,E28,E30,E35)</f>
        <v>3350372.8567796657</v>
      </c>
      <c r="F36" s="21" t="s">
        <v>3</v>
      </c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53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47</v>
      </c>
      <c r="C3" s="84"/>
      <c r="D3" s="84"/>
      <c r="E3" s="84"/>
      <c r="F3" s="84"/>
      <c r="G3" s="1"/>
    </row>
    <row r="4" spans="1:7" ht="1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24</v>
      </c>
      <c r="C8" s="39"/>
      <c r="D8" s="39"/>
      <c r="E8" s="39"/>
      <c r="F8" s="40"/>
      <c r="G8" s="1"/>
    </row>
    <row r="9" spans="1:7" ht="15" customHeight="1" x14ac:dyDescent="0.25">
      <c r="A9" s="1"/>
      <c r="B9" s="41" t="s">
        <v>66</v>
      </c>
      <c r="C9" s="7">
        <f>'Fane 2.1. Økonomisk ramme 2019'!E15</f>
        <v>3339816.125023508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2" t="s">
        <v>49</v>
      </c>
      <c r="C10" s="7">
        <f>'Fane 2.1. Økonomisk ramme 2019'!C10*(1+Prisudvikling2018)*(1-GenereltKrav)</f>
        <v>0</v>
      </c>
      <c r="D10" s="8" t="s">
        <v>3</v>
      </c>
      <c r="E10" s="32"/>
      <c r="F10" s="13"/>
      <c r="G10" s="1"/>
    </row>
    <row r="11" spans="1:7" ht="15" customHeight="1" x14ac:dyDescent="0.25">
      <c r="A11" s="1"/>
      <c r="B11" s="42" t="s">
        <v>67</v>
      </c>
      <c r="C11" s="7">
        <f>SUM('Fane 2.1. Økonomisk ramme 2019'!C11:C12)*(1+Prisudvikling2019)*(1-GenereltKrav)</f>
        <v>0</v>
      </c>
      <c r="D11" s="8" t="s">
        <v>3</v>
      </c>
      <c r="E11" s="32"/>
      <c r="F11" s="13"/>
      <c r="G11" s="1"/>
    </row>
    <row r="12" spans="1:7" ht="15" customHeight="1" x14ac:dyDescent="0.25">
      <c r="A12" s="1"/>
      <c r="B12" s="42" t="s">
        <v>41</v>
      </c>
      <c r="C12" s="11">
        <f>(C9-C10-C11)*Prisudvikling2017+C10*Prisudvikling2018+C11*Prisudvikling2019</f>
        <v>42415.664787798552</v>
      </c>
      <c r="D12" s="8" t="s">
        <v>3</v>
      </c>
      <c r="E12" s="12"/>
      <c r="F12" s="13"/>
      <c r="G12" s="1"/>
    </row>
    <row r="13" spans="1:7" ht="15" customHeight="1" x14ac:dyDescent="0.25">
      <c r="A13" s="1"/>
      <c r="B13" s="42" t="s">
        <v>14</v>
      </c>
      <c r="C13" s="11">
        <f>-SUM(C9,C12)*GenereltKrav</f>
        <v>-57497.940426792215</v>
      </c>
      <c r="D13" s="8" t="s">
        <v>3</v>
      </c>
      <c r="E13" s="15"/>
      <c r="F13" s="16"/>
      <c r="G13" s="1"/>
    </row>
    <row r="14" spans="1:7" ht="15" customHeight="1" x14ac:dyDescent="0.25">
      <c r="A14" s="1"/>
      <c r="B14" s="43" t="s">
        <v>45</v>
      </c>
      <c r="C14" s="17">
        <f>SUM(C9,C12:C13)</f>
        <v>3324733.8493845146</v>
      </c>
      <c r="D14" s="18" t="s">
        <v>3</v>
      </c>
      <c r="E14" s="17">
        <f>C14</f>
        <v>3324733.8493845146</v>
      </c>
      <c r="F14" s="18" t="s">
        <v>3</v>
      </c>
      <c r="G14" s="1"/>
    </row>
    <row r="15" spans="1:7" ht="15" customHeight="1" x14ac:dyDescent="0.25">
      <c r="A15" s="1"/>
      <c r="B15" s="38" t="s">
        <v>43</v>
      </c>
      <c r="C15" s="39"/>
      <c r="D15" s="39"/>
      <c r="E15" s="39"/>
      <c r="F15" s="40"/>
      <c r="G15" s="1"/>
    </row>
    <row r="16" spans="1:7" ht="15" customHeight="1" x14ac:dyDescent="0.25">
      <c r="A16" s="1"/>
      <c r="B16" s="42" t="s">
        <v>150</v>
      </c>
      <c r="C16" s="11">
        <v>0</v>
      </c>
      <c r="D16" s="8" t="s">
        <v>3</v>
      </c>
      <c r="E16" s="12"/>
      <c r="F16" s="13"/>
      <c r="G16" s="1"/>
    </row>
    <row r="17" spans="1:7" ht="15" customHeight="1" x14ac:dyDescent="0.25">
      <c r="A17" s="1"/>
      <c r="B17" s="42" t="s">
        <v>82</v>
      </c>
      <c r="C17" s="11">
        <f>-C16*GenereltKrav</f>
        <v>0</v>
      </c>
      <c r="D17" s="8" t="s">
        <v>3</v>
      </c>
      <c r="E17" s="12"/>
      <c r="F17" s="13"/>
      <c r="G17" s="1"/>
    </row>
    <row r="18" spans="1:7" ht="15" customHeight="1" x14ac:dyDescent="0.25">
      <c r="A18" s="1"/>
      <c r="B18" s="29" t="s">
        <v>83</v>
      </c>
      <c r="C18" s="17">
        <f>SUM(C16:C17)</f>
        <v>0</v>
      </c>
      <c r="D18" s="18" t="s">
        <v>3</v>
      </c>
      <c r="E18" s="17">
        <f>C18</f>
        <v>0</v>
      </c>
      <c r="F18" s="18" t="s">
        <v>3</v>
      </c>
      <c r="G18" s="1"/>
    </row>
    <row r="19" spans="1:7" x14ac:dyDescent="0.25">
      <c r="A19" s="1"/>
      <c r="B19" s="38" t="s">
        <v>21</v>
      </c>
      <c r="C19" s="39"/>
      <c r="D19" s="39"/>
      <c r="E19" s="39"/>
      <c r="F19" s="40"/>
      <c r="G19" s="1"/>
    </row>
    <row r="20" spans="1:7" ht="14.25" customHeight="1" x14ac:dyDescent="0.25">
      <c r="A20" s="1"/>
      <c r="B20" s="42" t="s">
        <v>21</v>
      </c>
      <c r="C20" s="11">
        <f>'Fane 5. Ikke-påvirkelige omk.'!E14*(1+Prisudvikling2019)</f>
        <v>1706500.5457110649</v>
      </c>
      <c r="D20" s="8" t="s">
        <v>3</v>
      </c>
      <c r="E20" s="12"/>
      <c r="F20" s="13"/>
      <c r="G20" s="1"/>
    </row>
    <row r="21" spans="1:7" ht="14.25" customHeight="1" x14ac:dyDescent="0.25">
      <c r="A21" s="1"/>
      <c r="B21" s="42" t="s">
        <v>85</v>
      </c>
      <c r="C21" s="11">
        <v>0</v>
      </c>
      <c r="D21" s="8" t="s">
        <v>3</v>
      </c>
      <c r="E21" s="12"/>
      <c r="F21" s="13"/>
      <c r="G21" s="1"/>
    </row>
    <row r="22" spans="1:7" ht="14.25" customHeight="1" x14ac:dyDescent="0.25">
      <c r="A22" s="1"/>
      <c r="B22" s="29" t="s">
        <v>86</v>
      </c>
      <c r="C22" s="17">
        <f>SUM(C20:C21)</f>
        <v>1706500.5457110649</v>
      </c>
      <c r="D22" s="18" t="s">
        <v>3</v>
      </c>
      <c r="E22" s="17">
        <f>C22</f>
        <v>1706500.5457110649</v>
      </c>
      <c r="F22" s="18" t="s">
        <v>3</v>
      </c>
      <c r="G22" s="1"/>
    </row>
    <row r="23" spans="1:7" x14ac:dyDescent="0.25">
      <c r="A23" s="1"/>
      <c r="B23" s="38" t="s">
        <v>15</v>
      </c>
      <c r="C23" s="39"/>
      <c r="D23" s="39"/>
      <c r="E23" s="39"/>
      <c r="F23" s="40"/>
      <c r="G23" s="1"/>
    </row>
    <row r="24" spans="1:7" ht="15" customHeight="1" x14ac:dyDescent="0.25">
      <c r="A24" s="1"/>
      <c r="B24" s="29" t="s">
        <v>23</v>
      </c>
      <c r="C24" s="17">
        <f>IF('Fane 7. Hist. over el. underdæk'!G12&gt;1,'Fane 7. Hist. over el. underdæk'!G13,0)</f>
        <v>-1166436.5</v>
      </c>
      <c r="D24" s="18" t="s">
        <v>3</v>
      </c>
      <c r="E24" s="17">
        <f>C24</f>
        <v>-1166436.5</v>
      </c>
      <c r="F24" s="18" t="s">
        <v>3</v>
      </c>
      <c r="G24" s="1"/>
    </row>
    <row r="25" spans="1:7" ht="15" customHeight="1" x14ac:dyDescent="0.25">
      <c r="A25" s="1"/>
      <c r="B25" s="38" t="s">
        <v>156</v>
      </c>
      <c r="C25" s="39"/>
      <c r="D25" s="39"/>
      <c r="E25" s="39"/>
      <c r="F25" s="40"/>
      <c r="G25" s="1"/>
    </row>
    <row r="26" spans="1:7" x14ac:dyDescent="0.25">
      <c r="A26" s="1"/>
      <c r="B26" s="41" t="s">
        <v>157</v>
      </c>
      <c r="C26" s="7">
        <v>-1529575.9908333332</v>
      </c>
      <c r="D26" s="8" t="s">
        <v>3</v>
      </c>
      <c r="E26" s="9"/>
      <c r="F26" s="10"/>
      <c r="G26" s="1"/>
    </row>
    <row r="27" spans="1:7" ht="26.25" x14ac:dyDescent="0.25">
      <c r="A27" s="1"/>
      <c r="B27" s="41" t="s">
        <v>158</v>
      </c>
      <c r="C27" s="7">
        <v>-7649.4248576389991</v>
      </c>
      <c r="D27" s="8" t="s">
        <v>3</v>
      </c>
      <c r="E27" s="33"/>
      <c r="F27" s="13"/>
      <c r="G27" s="1"/>
    </row>
    <row r="28" spans="1:7" ht="26.25" x14ac:dyDescent="0.25">
      <c r="A28" s="1"/>
      <c r="B28" s="42" t="s">
        <v>159</v>
      </c>
      <c r="C28" s="7">
        <v>1027589.25</v>
      </c>
      <c r="D28" s="8" t="s">
        <v>3</v>
      </c>
      <c r="E28" s="32"/>
      <c r="F28" s="13"/>
      <c r="G28" s="1"/>
    </row>
    <row r="29" spans="1:7" x14ac:dyDescent="0.25">
      <c r="A29" s="1"/>
      <c r="B29" s="29" t="s">
        <v>64</v>
      </c>
      <c r="C29" s="17">
        <f>SUM(C26:C28)</f>
        <v>-509636.16569097224</v>
      </c>
      <c r="D29" s="18" t="s">
        <v>3</v>
      </c>
      <c r="E29" s="17">
        <f>C29</f>
        <v>-509636.16569097224</v>
      </c>
      <c r="F29" s="18" t="s">
        <v>3</v>
      </c>
      <c r="G29" s="1"/>
    </row>
    <row r="30" spans="1:7" x14ac:dyDescent="0.25">
      <c r="A30" s="1"/>
      <c r="B30" s="38" t="s">
        <v>68</v>
      </c>
      <c r="C30" s="39"/>
      <c r="D30" s="40"/>
      <c r="E30" s="20">
        <f>SUM(E14,E18,E22,E24,E29)</f>
        <v>3355161.7294046069</v>
      </c>
      <c r="F30" s="21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  <row r="51" spans="1:7" x14ac:dyDescent="0.25">
      <c r="A51" s="1"/>
      <c r="B51" s="1"/>
      <c r="C51" s="1"/>
      <c r="D51" s="1"/>
      <c r="E51" s="1"/>
      <c r="F51" s="1"/>
      <c r="G51" s="1"/>
    </row>
    <row r="52" spans="1:7" x14ac:dyDescent="0.25">
      <c r="A52" s="1"/>
      <c r="B52" s="1"/>
      <c r="C52" s="1"/>
      <c r="D52" s="1"/>
      <c r="E52" s="1"/>
      <c r="F52" s="1"/>
      <c r="G52" s="1"/>
    </row>
    <row r="53" spans="1:7" x14ac:dyDescent="0.25">
      <c r="A53" s="1"/>
      <c r="B53" s="1"/>
      <c r="C53" s="1"/>
      <c r="D53" s="1"/>
      <c r="E53" s="1"/>
      <c r="F53" s="1"/>
      <c r="G53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90</v>
      </c>
      <c r="C3" s="84"/>
      <c r="D3" s="84"/>
      <c r="E3" s="84"/>
      <c r="F3" s="84"/>
      <c r="G3" s="1"/>
    </row>
    <row r="4" spans="1:7" ht="1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85" t="s">
        <v>48</v>
      </c>
      <c r="C5" s="85"/>
      <c r="D5" s="85"/>
      <c r="E5" s="85"/>
      <c r="F5" s="85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24</v>
      </c>
      <c r="C8" s="39"/>
      <c r="D8" s="39"/>
      <c r="E8" s="39"/>
      <c r="F8" s="40"/>
      <c r="G8" s="1"/>
    </row>
    <row r="9" spans="1:7" ht="15" customHeight="1" x14ac:dyDescent="0.25">
      <c r="A9" s="1"/>
      <c r="B9" s="45" t="s">
        <v>69</v>
      </c>
      <c r="C9" s="7">
        <f>'Fane 2.2. Økonomisk ramme 2020'!E14</f>
        <v>3324733.8493845146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1" t="s">
        <v>27</v>
      </c>
      <c r="C10" s="7">
        <f>'Fane 4. Korrigeret grundlag'!G24</f>
        <v>68869.188544141114</v>
      </c>
      <c r="D10" s="8" t="s">
        <v>3</v>
      </c>
      <c r="E10" s="32"/>
      <c r="F10" s="13"/>
      <c r="G10" s="1"/>
    </row>
    <row r="11" spans="1:7" ht="15" customHeight="1" x14ac:dyDescent="0.25">
      <c r="A11" s="1"/>
      <c r="B11" s="42" t="s">
        <v>41</v>
      </c>
      <c r="C11" s="11">
        <f>SUM(C9:C10)*Prisudvikling2019</f>
        <v>57351.891340994276</v>
      </c>
      <c r="D11" s="8" t="s">
        <v>3</v>
      </c>
      <c r="E11" s="12"/>
      <c r="F11" s="13"/>
      <c r="G11" s="1"/>
    </row>
    <row r="12" spans="1:7" ht="15" customHeight="1" x14ac:dyDescent="0.25">
      <c r="A12" s="1"/>
      <c r="B12" s="42" t="s">
        <v>14</v>
      </c>
      <c r="C12" s="11">
        <f>-SUM(C9:C11)*GenereltKrav</f>
        <v>-58666.233797584056</v>
      </c>
      <c r="D12" s="8" t="s">
        <v>3</v>
      </c>
      <c r="E12" s="15"/>
      <c r="F12" s="16"/>
      <c r="G12" s="1"/>
    </row>
    <row r="13" spans="1:7" x14ac:dyDescent="0.25">
      <c r="A13" s="1"/>
      <c r="B13" s="43" t="s">
        <v>45</v>
      </c>
      <c r="C13" s="17">
        <f>SUM(C9:C12)</f>
        <v>3392288.6954720658</v>
      </c>
      <c r="D13" s="18" t="s">
        <v>3</v>
      </c>
      <c r="E13" s="17">
        <f>C13</f>
        <v>3392288.6954720658</v>
      </c>
      <c r="F13" s="18" t="s">
        <v>3</v>
      </c>
      <c r="G13" s="1"/>
    </row>
    <row r="14" spans="1:7" x14ac:dyDescent="0.25">
      <c r="A14" s="1"/>
      <c r="B14" s="38" t="s">
        <v>43</v>
      </c>
      <c r="C14" s="39"/>
      <c r="D14" s="39"/>
      <c r="E14" s="39"/>
      <c r="F14" s="40"/>
      <c r="G14" s="1"/>
    </row>
    <row r="15" spans="1:7" ht="15" customHeight="1" x14ac:dyDescent="0.25">
      <c r="A15" s="1"/>
      <c r="B15" s="42" t="s">
        <v>150</v>
      </c>
      <c r="C15" s="11">
        <v>0</v>
      </c>
      <c r="D15" s="8" t="s">
        <v>3</v>
      </c>
      <c r="E15" s="12"/>
      <c r="F15" s="13"/>
      <c r="G15" s="1"/>
    </row>
    <row r="16" spans="1:7" ht="15" customHeight="1" x14ac:dyDescent="0.25">
      <c r="A16" s="1"/>
      <c r="B16" s="42" t="s">
        <v>82</v>
      </c>
      <c r="C16" s="11">
        <f>-C15*GenereltKrav</f>
        <v>0</v>
      </c>
      <c r="D16" s="8" t="s">
        <v>3</v>
      </c>
      <c r="E16" s="12"/>
      <c r="F16" s="13"/>
      <c r="G16" s="1"/>
    </row>
    <row r="17" spans="1:7" ht="15" customHeight="1" x14ac:dyDescent="0.25">
      <c r="A17" s="1"/>
      <c r="B17" s="29" t="s">
        <v>83</v>
      </c>
      <c r="C17" s="17">
        <f>SUM(C15:C16)</f>
        <v>0</v>
      </c>
      <c r="D17" s="18" t="s">
        <v>3</v>
      </c>
      <c r="E17" s="17">
        <f>C17</f>
        <v>0</v>
      </c>
      <c r="F17" s="18" t="s">
        <v>3</v>
      </c>
      <c r="G17" s="1"/>
    </row>
    <row r="18" spans="1:7" x14ac:dyDescent="0.25">
      <c r="A18" s="1"/>
      <c r="B18" s="38" t="s">
        <v>21</v>
      </c>
      <c r="C18" s="39"/>
      <c r="D18" s="39"/>
      <c r="E18" s="39"/>
      <c r="F18" s="40"/>
      <c r="G18" s="1"/>
    </row>
    <row r="19" spans="1:7" ht="15" customHeight="1" x14ac:dyDescent="0.25">
      <c r="A19" s="1"/>
      <c r="B19" s="42" t="s">
        <v>21</v>
      </c>
      <c r="C19" s="11">
        <f>'Fane 5. Ikke-påvirkelige omk.'!E14*(1+Prisudvikling2019)^2</f>
        <v>1735340.4049335818</v>
      </c>
      <c r="D19" s="8" t="s">
        <v>3</v>
      </c>
      <c r="E19" s="12"/>
      <c r="F19" s="13"/>
      <c r="G19" s="1"/>
    </row>
    <row r="20" spans="1:7" ht="15" customHeight="1" x14ac:dyDescent="0.25">
      <c r="A20" s="1"/>
      <c r="B20" s="42" t="s">
        <v>85</v>
      </c>
      <c r="C20" s="11">
        <v>0</v>
      </c>
      <c r="D20" s="8" t="s">
        <v>3</v>
      </c>
      <c r="E20" s="12"/>
      <c r="F20" s="13"/>
      <c r="G20" s="1"/>
    </row>
    <row r="21" spans="1:7" ht="15" customHeight="1" x14ac:dyDescent="0.25">
      <c r="A21" s="1"/>
      <c r="B21" s="29" t="s">
        <v>86</v>
      </c>
      <c r="C21" s="17">
        <f>SUM(C19:C20)</f>
        <v>1735340.4049335818</v>
      </c>
      <c r="D21" s="18" t="s">
        <v>3</v>
      </c>
      <c r="E21" s="17">
        <f>C21</f>
        <v>1735340.4049335818</v>
      </c>
      <c r="F21" s="18" t="s">
        <v>3</v>
      </c>
      <c r="G21" s="1"/>
    </row>
    <row r="22" spans="1:7" x14ac:dyDescent="0.25">
      <c r="A22" s="1"/>
      <c r="B22" s="38" t="s">
        <v>124</v>
      </c>
      <c r="C22" s="39"/>
      <c r="D22" s="39"/>
      <c r="E22" s="39"/>
      <c r="F22" s="40"/>
      <c r="G22" s="1"/>
    </row>
    <row r="23" spans="1:7" ht="15" customHeight="1" x14ac:dyDescent="0.25">
      <c r="A23" s="1"/>
      <c r="B23" s="29" t="s">
        <v>33</v>
      </c>
      <c r="C23" s="17">
        <f>'Fane 6. Korrektion prisloft 16'!G13</f>
        <v>34375.187776674626</v>
      </c>
      <c r="D23" s="18" t="s">
        <v>3</v>
      </c>
      <c r="E23" s="17">
        <f>C23</f>
        <v>34375.187776674626</v>
      </c>
      <c r="F23" s="18" t="s">
        <v>3</v>
      </c>
      <c r="G23" s="1"/>
    </row>
    <row r="24" spans="1:7" x14ac:dyDescent="0.25">
      <c r="A24" s="1"/>
      <c r="B24" s="38" t="s">
        <v>121</v>
      </c>
      <c r="C24" s="39"/>
      <c r="D24" s="39"/>
      <c r="E24" s="39"/>
      <c r="F24" s="40"/>
      <c r="G24" s="1"/>
    </row>
    <row r="25" spans="1:7" ht="15" customHeight="1" x14ac:dyDescent="0.25">
      <c r="A25" s="1"/>
      <c r="B25" s="41" t="s">
        <v>122</v>
      </c>
      <c r="C25" s="11">
        <f>'Fane 6. Korrektion prisloft 16'!G22</f>
        <v>-115947.66218239965</v>
      </c>
      <c r="D25" s="8" t="s">
        <v>3</v>
      </c>
      <c r="E25" s="14"/>
      <c r="F25" s="13"/>
      <c r="G25" s="1"/>
    </row>
    <row r="26" spans="1:7" ht="15" customHeight="1" x14ac:dyDescent="0.25">
      <c r="A26" s="1"/>
      <c r="B26" s="41" t="s">
        <v>120</v>
      </c>
      <c r="C26" s="11">
        <f>'Fane 8. Kontrol af ØR2017'!G22</f>
        <v>0</v>
      </c>
      <c r="D26" s="8" t="s">
        <v>3</v>
      </c>
      <c r="E26" s="14"/>
      <c r="F26" s="13"/>
      <c r="G26" s="1"/>
    </row>
    <row r="27" spans="1:7" ht="15" customHeight="1" x14ac:dyDescent="0.25">
      <c r="A27" s="1"/>
      <c r="B27" s="18" t="s">
        <v>123</v>
      </c>
      <c r="C27" s="55">
        <f>SUM(C25:C26)</f>
        <v>-115947.66218239965</v>
      </c>
      <c r="D27" s="36" t="s">
        <v>3</v>
      </c>
      <c r="E27" s="17">
        <f>C27</f>
        <v>-115947.66218239965</v>
      </c>
      <c r="F27" s="18" t="s">
        <v>3</v>
      </c>
      <c r="G27" s="1"/>
    </row>
    <row r="28" spans="1:7" x14ac:dyDescent="0.25">
      <c r="A28" s="1"/>
      <c r="B28" s="38" t="s">
        <v>84</v>
      </c>
      <c r="C28" s="39"/>
      <c r="D28" s="40"/>
      <c r="E28" s="20">
        <f>SUM(E13,E17,E21,E23,E27)</f>
        <v>5046056.6259999219</v>
      </c>
      <c r="F28" s="21" t="s">
        <v>3</v>
      </c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password="DFE9" sheet="1" objects="1" scenarios="1"/>
  <mergeCells count="2">
    <mergeCell ref="B3:F4"/>
    <mergeCell ref="B5:F5"/>
  </mergeCells>
  <pageMargins left="0.6875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0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2.85546875" style="2" customWidth="1"/>
    <col min="8" max="8" width="2.7109375" style="2" customWidth="1"/>
    <col min="9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91</v>
      </c>
      <c r="C3" s="84"/>
      <c r="D3" s="84"/>
      <c r="E3" s="84"/>
      <c r="F3" s="84"/>
      <c r="G3" s="1"/>
    </row>
    <row r="4" spans="1:7" ht="1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85" t="s">
        <v>48</v>
      </c>
      <c r="C5" s="85"/>
      <c r="D5" s="85"/>
      <c r="E5" s="85"/>
      <c r="F5" s="85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24</v>
      </c>
      <c r="C8" s="39"/>
      <c r="D8" s="39"/>
      <c r="E8" s="39"/>
      <c r="F8" s="40"/>
      <c r="G8" s="1"/>
    </row>
    <row r="9" spans="1:7" ht="15" customHeight="1" x14ac:dyDescent="0.25">
      <c r="A9" s="1"/>
      <c r="B9" s="41" t="s">
        <v>79</v>
      </c>
      <c r="C9" s="7">
        <f>'Fane 2.3. Økonomisk ramme 2021'!E13</f>
        <v>3392288.6954720658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2" t="s">
        <v>41</v>
      </c>
      <c r="C10" s="11">
        <f>C9*Prisudvikling2019</f>
        <v>57329.678953477909</v>
      </c>
      <c r="D10" s="8" t="s">
        <v>3</v>
      </c>
      <c r="E10" s="12"/>
      <c r="F10" s="13"/>
      <c r="G10" s="1"/>
    </row>
    <row r="11" spans="1:7" ht="15" customHeight="1" x14ac:dyDescent="0.25">
      <c r="A11" s="1"/>
      <c r="B11" s="42" t="s">
        <v>14</v>
      </c>
      <c r="C11" s="11">
        <f>-SUM(C9:C10)*GenereltKrav</f>
        <v>-58643.512365234252</v>
      </c>
      <c r="D11" s="8" t="s">
        <v>3</v>
      </c>
      <c r="E11" s="15"/>
      <c r="F11" s="16"/>
      <c r="G11" s="1"/>
    </row>
    <row r="12" spans="1:7" x14ac:dyDescent="0.25">
      <c r="A12" s="1"/>
      <c r="B12" s="43" t="s">
        <v>45</v>
      </c>
      <c r="C12" s="17">
        <f>SUM(C9:C11)</f>
        <v>3390974.8620603099</v>
      </c>
      <c r="D12" s="18" t="s">
        <v>3</v>
      </c>
      <c r="E12" s="17">
        <f>C12</f>
        <v>3390974.8620603099</v>
      </c>
      <c r="F12" s="18" t="s">
        <v>3</v>
      </c>
      <c r="G12" s="1"/>
    </row>
    <row r="13" spans="1:7" x14ac:dyDescent="0.25">
      <c r="A13" s="1"/>
      <c r="B13" s="38" t="s">
        <v>43</v>
      </c>
      <c r="C13" s="39"/>
      <c r="D13" s="39"/>
      <c r="E13" s="39"/>
      <c r="F13" s="40"/>
      <c r="G13" s="1"/>
    </row>
    <row r="14" spans="1:7" ht="15" customHeight="1" x14ac:dyDescent="0.25">
      <c r="A14" s="1"/>
      <c r="B14" s="42" t="s">
        <v>150</v>
      </c>
      <c r="C14" s="11">
        <v>0</v>
      </c>
      <c r="D14" s="8" t="s">
        <v>3</v>
      </c>
      <c r="E14" s="12"/>
      <c r="F14" s="13"/>
      <c r="G14" s="1"/>
    </row>
    <row r="15" spans="1:7" ht="15" customHeight="1" x14ac:dyDescent="0.25">
      <c r="A15" s="1"/>
      <c r="B15" s="42" t="s">
        <v>82</v>
      </c>
      <c r="C15" s="11">
        <f>-C14*GenereltKrav</f>
        <v>0</v>
      </c>
      <c r="D15" s="8" t="s">
        <v>3</v>
      </c>
      <c r="E15" s="12"/>
      <c r="F15" s="13"/>
      <c r="G15" s="1"/>
    </row>
    <row r="16" spans="1:7" ht="15" customHeight="1" x14ac:dyDescent="0.25">
      <c r="A16" s="1"/>
      <c r="B16" s="29" t="s">
        <v>83</v>
      </c>
      <c r="C16" s="17">
        <f>SUM(C14:C15)</f>
        <v>0</v>
      </c>
      <c r="D16" s="18" t="s">
        <v>3</v>
      </c>
      <c r="E16" s="17">
        <f>C16</f>
        <v>0</v>
      </c>
      <c r="F16" s="18" t="s">
        <v>3</v>
      </c>
      <c r="G16" s="1"/>
    </row>
    <row r="17" spans="1:7" x14ac:dyDescent="0.25">
      <c r="A17" s="1"/>
      <c r="B17" s="38" t="s">
        <v>21</v>
      </c>
      <c r="C17" s="39"/>
      <c r="D17" s="39"/>
      <c r="E17" s="39"/>
      <c r="F17" s="40"/>
      <c r="G17" s="1"/>
    </row>
    <row r="18" spans="1:7" ht="15" customHeight="1" x14ac:dyDescent="0.25">
      <c r="A18" s="1"/>
      <c r="B18" s="42" t="s">
        <v>21</v>
      </c>
      <c r="C18" s="11">
        <f>'Fane 5. Ikke-påvirkelige omk.'!E14*(1+Prisudvikling2019)^3</f>
        <v>1764667.657776959</v>
      </c>
      <c r="D18" s="8" t="s">
        <v>3</v>
      </c>
      <c r="E18" s="12"/>
      <c r="F18" s="13"/>
      <c r="G18" s="1"/>
    </row>
    <row r="19" spans="1:7" ht="15" customHeight="1" x14ac:dyDescent="0.25">
      <c r="A19" s="1"/>
      <c r="B19" s="42" t="s">
        <v>85</v>
      </c>
      <c r="C19" s="11">
        <v>0</v>
      </c>
      <c r="D19" s="8" t="s">
        <v>3</v>
      </c>
      <c r="E19" s="12"/>
      <c r="F19" s="13"/>
      <c r="G19" s="1"/>
    </row>
    <row r="20" spans="1:7" ht="15" customHeight="1" x14ac:dyDescent="0.25">
      <c r="A20" s="1"/>
      <c r="B20" s="29" t="s">
        <v>86</v>
      </c>
      <c r="C20" s="17">
        <f>SUM(C18:C19)</f>
        <v>1764667.657776959</v>
      </c>
      <c r="D20" s="18" t="s">
        <v>3</v>
      </c>
      <c r="E20" s="17">
        <f>C20</f>
        <v>1764667.657776959</v>
      </c>
      <c r="F20" s="18" t="s">
        <v>3</v>
      </c>
      <c r="G20" s="1"/>
    </row>
    <row r="21" spans="1:7" x14ac:dyDescent="0.25">
      <c r="A21" s="1"/>
      <c r="B21" s="38" t="s">
        <v>124</v>
      </c>
      <c r="C21" s="39"/>
      <c r="D21" s="39"/>
      <c r="E21" s="39"/>
      <c r="F21" s="40"/>
      <c r="G21" s="1"/>
    </row>
    <row r="22" spans="1:7" ht="15" customHeight="1" x14ac:dyDescent="0.25">
      <c r="A22" s="1"/>
      <c r="B22" s="29" t="s">
        <v>33</v>
      </c>
      <c r="C22" s="17">
        <f>'Fane 2.3. Økonomisk ramme 2021'!C23*(1+Prisudvikling2019)</f>
        <v>34956.128450100427</v>
      </c>
      <c r="D22" s="18" t="s">
        <v>3</v>
      </c>
      <c r="E22" s="17">
        <f>C22</f>
        <v>34956.128450100427</v>
      </c>
      <c r="F22" s="18" t="s">
        <v>3</v>
      </c>
      <c r="G22" s="1"/>
    </row>
    <row r="23" spans="1:7" ht="15" customHeight="1" x14ac:dyDescent="0.25">
      <c r="A23" s="1"/>
      <c r="B23" s="38" t="s">
        <v>121</v>
      </c>
      <c r="C23" s="39"/>
      <c r="D23" s="39"/>
      <c r="E23" s="39"/>
      <c r="F23" s="40"/>
      <c r="G23" s="1"/>
    </row>
    <row r="24" spans="1:7" ht="15" customHeight="1" x14ac:dyDescent="0.25">
      <c r="A24" s="1"/>
      <c r="B24" s="41" t="s">
        <v>122</v>
      </c>
      <c r="C24" s="11">
        <f>'Fane 2.3. Økonomisk ramme 2021'!C25*(1+Prisudvikling2019)</f>
        <v>-117907.1776732822</v>
      </c>
      <c r="D24" s="8" t="s">
        <v>3</v>
      </c>
      <c r="E24" s="14"/>
      <c r="F24" s="13"/>
      <c r="G24" s="1"/>
    </row>
    <row r="25" spans="1:7" ht="15" customHeight="1" x14ac:dyDescent="0.25">
      <c r="A25" s="1"/>
      <c r="B25" s="41" t="s">
        <v>120</v>
      </c>
      <c r="C25" s="11">
        <f>'Fane 2.3. Økonomisk ramme 2021'!C26*(1+Prisudvikling2019)</f>
        <v>0</v>
      </c>
      <c r="D25" s="8" t="s">
        <v>3</v>
      </c>
      <c r="E25" s="14"/>
      <c r="F25" s="13"/>
      <c r="G25" s="1"/>
    </row>
    <row r="26" spans="1:7" ht="15" customHeight="1" x14ac:dyDescent="0.25">
      <c r="A26" s="1"/>
      <c r="B26" s="18" t="s">
        <v>153</v>
      </c>
      <c r="C26" s="55">
        <f>SUM(C24:C25)</f>
        <v>-117907.1776732822</v>
      </c>
      <c r="D26" s="36" t="s">
        <v>3</v>
      </c>
      <c r="E26" s="17">
        <f>C26</f>
        <v>-117907.1776732822</v>
      </c>
      <c r="F26" s="18" t="s">
        <v>3</v>
      </c>
      <c r="G26" s="1"/>
    </row>
    <row r="27" spans="1:7" x14ac:dyDescent="0.25">
      <c r="A27" s="1"/>
      <c r="B27" s="38" t="s">
        <v>78</v>
      </c>
      <c r="C27" s="39"/>
      <c r="D27" s="40"/>
      <c r="E27" s="20">
        <f>SUM(E12,E16,E20,E22,E26)</f>
        <v>5072691.4706140868</v>
      </c>
      <c r="F27" s="21" t="s">
        <v>3</v>
      </c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</sheetData>
  <sheetProtection password="DFE9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56.28515625" style="2" customWidth="1"/>
    <col min="3" max="3" width="0" style="2" hidden="1" customWidth="1"/>
    <col min="4" max="4" width="15.140625" style="2" hidden="1" customWidth="1"/>
    <col min="5" max="5" width="0" style="2" hidden="1" customWidth="1"/>
    <col min="6" max="6" width="13.28515625" style="2" hidden="1" customWidth="1"/>
    <col min="7" max="7" width="10.57031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6" t="s">
        <v>92</v>
      </c>
      <c r="C3" s="86"/>
      <c r="D3" s="86"/>
      <c r="E3" s="86"/>
      <c r="F3" s="86"/>
      <c r="G3" s="86"/>
      <c r="H3" s="86"/>
      <c r="I3" s="1"/>
    </row>
    <row r="4" spans="1:9" ht="29.2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8" t="s">
        <v>59</v>
      </c>
      <c r="C8" s="39"/>
      <c r="D8" s="39"/>
      <c r="E8" s="39"/>
      <c r="F8" s="39"/>
      <c r="G8" s="39"/>
      <c r="H8" s="40"/>
      <c r="I8" s="1"/>
    </row>
    <row r="9" spans="1:9" x14ac:dyDescent="0.25">
      <c r="A9" s="1"/>
      <c r="B9" s="45" t="s">
        <v>34</v>
      </c>
      <c r="C9" s="46"/>
      <c r="D9" s="46"/>
      <c r="E9" s="46"/>
      <c r="F9" s="47"/>
      <c r="G9" s="11">
        <v>5171183.3111190079</v>
      </c>
      <c r="H9" s="22" t="s">
        <v>3</v>
      </c>
      <c r="I9" s="1"/>
    </row>
    <row r="10" spans="1:9" x14ac:dyDescent="0.25">
      <c r="A10" s="1"/>
      <c r="B10" s="44" t="s">
        <v>60</v>
      </c>
      <c r="C10" s="46"/>
      <c r="D10" s="46"/>
      <c r="E10" s="46"/>
      <c r="F10" s="47"/>
      <c r="G10" s="11">
        <v>0</v>
      </c>
      <c r="H10" s="22" t="s">
        <v>3</v>
      </c>
      <c r="I10" s="1"/>
    </row>
    <row r="11" spans="1:9" x14ac:dyDescent="0.25">
      <c r="A11" s="1"/>
      <c r="B11" s="44" t="s">
        <v>57</v>
      </c>
      <c r="C11" s="46"/>
      <c r="D11" s="46"/>
      <c r="E11" s="46"/>
      <c r="F11" s="47"/>
      <c r="G11" s="11">
        <v>1816216.4914344866</v>
      </c>
      <c r="H11" s="22" t="s">
        <v>3</v>
      </c>
      <c r="I11" s="1"/>
    </row>
    <row r="12" spans="1:9" x14ac:dyDescent="0.25">
      <c r="A12" s="1"/>
      <c r="B12" s="44" t="s">
        <v>58</v>
      </c>
      <c r="C12" s="46"/>
      <c r="D12" s="46"/>
      <c r="E12" s="46"/>
      <c r="F12" s="47"/>
      <c r="G12" s="11">
        <v>0</v>
      </c>
      <c r="H12" s="22" t="s">
        <v>3</v>
      </c>
      <c r="I12" s="1"/>
    </row>
    <row r="13" spans="1:9" ht="26.25" customHeight="1" x14ac:dyDescent="0.25">
      <c r="A13" s="1"/>
      <c r="B13" s="48" t="s">
        <v>80</v>
      </c>
      <c r="C13" s="49"/>
      <c r="D13" s="49"/>
      <c r="E13" s="49"/>
      <c r="F13" s="50"/>
      <c r="G13" s="34">
        <f>G9-G11-G12</f>
        <v>3354966.8196845213</v>
      </c>
      <c r="H13" s="35" t="s">
        <v>3</v>
      </c>
      <c r="I13" s="1"/>
    </row>
    <row r="14" spans="1:9" x14ac:dyDescent="0.25">
      <c r="A14" s="1"/>
      <c r="B14" s="23"/>
      <c r="C14" s="23"/>
      <c r="D14" s="23"/>
      <c r="E14" s="23"/>
      <c r="F14" s="23"/>
      <c r="G14" s="23"/>
      <c r="H14" s="23"/>
      <c r="I14" s="1"/>
    </row>
    <row r="15" spans="1:9" x14ac:dyDescent="0.25">
      <c r="A15" s="1"/>
      <c r="B15" s="24"/>
      <c r="C15" s="23"/>
      <c r="D15" s="23"/>
      <c r="E15" s="23"/>
      <c r="F15" s="23"/>
      <c r="G15" s="23"/>
      <c r="H15" s="23"/>
      <c r="I15" s="1"/>
    </row>
    <row r="16" spans="1:9" x14ac:dyDescent="0.25">
      <c r="A16" s="1"/>
      <c r="B16" s="24"/>
      <c r="C16" s="23"/>
      <c r="D16" s="23"/>
      <c r="E16" s="23"/>
      <c r="F16" s="23"/>
      <c r="G16" s="23"/>
      <c r="H16" s="23"/>
      <c r="I16" s="1"/>
    </row>
    <row r="17" spans="1:9" x14ac:dyDescent="0.25">
      <c r="A17" s="1"/>
      <c r="B17" s="24"/>
      <c r="C17" s="1"/>
      <c r="D17" s="1"/>
      <c r="E17" s="1"/>
      <c r="F17" s="1"/>
      <c r="G17" s="23"/>
      <c r="H17" s="1"/>
      <c r="I17" s="1"/>
    </row>
    <row r="18" spans="1:9" x14ac:dyDescent="0.25">
      <c r="A18" s="1"/>
      <c r="B18" s="24"/>
      <c r="C18" s="1"/>
      <c r="D18" s="1"/>
      <c r="E18" s="1"/>
      <c r="F18" s="1"/>
      <c r="G18" s="23"/>
      <c r="H18" s="1"/>
      <c r="I18" s="1"/>
    </row>
    <row r="19" spans="1:9" x14ac:dyDescent="0.25">
      <c r="A19" s="1"/>
      <c r="B19" s="24"/>
      <c r="C19" s="1"/>
      <c r="D19" s="1"/>
      <c r="E19" s="1"/>
      <c r="F19" s="1"/>
      <c r="G19" s="23"/>
      <c r="H19" s="1"/>
      <c r="I19" s="1"/>
    </row>
    <row r="20" spans="1:9" x14ac:dyDescent="0.25">
      <c r="A20" s="1"/>
      <c r="B20" s="24"/>
      <c r="C20" s="1"/>
      <c r="D20" s="1"/>
      <c r="E20" s="1"/>
      <c r="F20" s="1"/>
      <c r="G20" s="23"/>
      <c r="H20" s="1"/>
      <c r="I20" s="1"/>
    </row>
    <row r="21" spans="1:9" x14ac:dyDescent="0.25">
      <c r="A21" s="1"/>
      <c r="B21" s="24"/>
      <c r="C21" s="1"/>
      <c r="D21" s="1"/>
      <c r="E21" s="1"/>
      <c r="F21" s="1"/>
      <c r="G21" s="23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6.85546875" style="2" customWidth="1"/>
    <col min="2" max="2" width="58.140625" style="2" customWidth="1"/>
    <col min="3" max="3" width="0" style="2" hidden="1" customWidth="1"/>
    <col min="4" max="4" width="15.140625" style="2" hidden="1" customWidth="1"/>
    <col min="5" max="5" width="0" style="2" hidden="1" customWidth="1"/>
    <col min="6" max="6" width="14.28515625" style="2" hidden="1" customWidth="1"/>
    <col min="7" max="7" width="12.28515625" style="2" customWidth="1"/>
    <col min="8" max="8" width="3.28515625" style="2" customWidth="1"/>
    <col min="9" max="9" width="6.425781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6" t="s">
        <v>138</v>
      </c>
      <c r="C3" s="86"/>
      <c r="D3" s="86"/>
      <c r="E3" s="86"/>
      <c r="F3" s="86"/>
      <c r="G3" s="86"/>
      <c r="H3" s="86"/>
      <c r="I3" s="1"/>
    </row>
    <row r="4" spans="1:9" ht="29.2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8" t="s">
        <v>70</v>
      </c>
      <c r="C8" s="39"/>
      <c r="D8" s="39"/>
      <c r="E8" s="39"/>
      <c r="F8" s="39"/>
      <c r="G8" s="39"/>
      <c r="H8" s="40"/>
      <c r="I8" s="1"/>
    </row>
    <row r="9" spans="1:9" x14ac:dyDescent="0.25">
      <c r="A9" s="1"/>
      <c r="B9" s="45" t="s">
        <v>71</v>
      </c>
      <c r="C9" s="46"/>
      <c r="D9" s="46"/>
      <c r="E9" s="46"/>
      <c r="F9" s="47"/>
      <c r="G9" s="11">
        <v>1264297.8764116806</v>
      </c>
      <c r="H9" s="22" t="s">
        <v>3</v>
      </c>
      <c r="I9" s="1"/>
    </row>
    <row r="10" spans="1:9" x14ac:dyDescent="0.25">
      <c r="A10" s="1"/>
      <c r="B10" s="45" t="s">
        <v>72</v>
      </c>
      <c r="C10" s="46"/>
      <c r="D10" s="46"/>
      <c r="E10" s="46"/>
      <c r="F10" s="47"/>
      <c r="G10" s="11">
        <v>2164153.5634560664</v>
      </c>
      <c r="H10" s="22" t="s">
        <v>3</v>
      </c>
      <c r="I10" s="1"/>
    </row>
    <row r="11" spans="1:9" ht="26.25" customHeight="1" x14ac:dyDescent="0.25">
      <c r="A11" s="1"/>
      <c r="B11" s="48" t="s">
        <v>73</v>
      </c>
      <c r="C11" s="49"/>
      <c r="D11" s="49"/>
      <c r="E11" s="49"/>
      <c r="F11" s="50"/>
      <c r="G11" s="34">
        <f>SUM(G9:G10)</f>
        <v>3428451.439867747</v>
      </c>
      <c r="H11" s="35" t="s">
        <v>3</v>
      </c>
      <c r="I11" s="1"/>
    </row>
    <row r="12" spans="1:9" x14ac:dyDescent="0.25">
      <c r="A12" s="1"/>
      <c r="B12" s="23"/>
      <c r="C12" s="23"/>
      <c r="D12" s="23"/>
      <c r="E12" s="23"/>
      <c r="F12" s="23"/>
      <c r="G12" s="23"/>
      <c r="H12" s="23"/>
      <c r="I12" s="1"/>
    </row>
    <row r="13" spans="1:9" x14ac:dyDescent="0.25">
      <c r="A13" s="1"/>
      <c r="B13" s="23"/>
      <c r="C13" s="23"/>
      <c r="D13" s="23"/>
      <c r="E13" s="23"/>
      <c r="F13" s="23"/>
      <c r="G13" s="23"/>
      <c r="H13" s="23"/>
      <c r="I13" s="1"/>
    </row>
    <row r="14" spans="1:9" x14ac:dyDescent="0.25">
      <c r="A14" s="1"/>
      <c r="B14" s="38" t="s">
        <v>74</v>
      </c>
      <c r="C14" s="39"/>
      <c r="D14" s="39"/>
      <c r="E14" s="39"/>
      <c r="F14" s="39"/>
      <c r="G14" s="39"/>
      <c r="H14" s="40"/>
      <c r="I14" s="1"/>
    </row>
    <row r="15" spans="1:9" x14ac:dyDescent="0.25">
      <c r="A15" s="1"/>
      <c r="B15" s="45" t="s">
        <v>36</v>
      </c>
      <c r="C15" s="46"/>
      <c r="D15" s="46"/>
      <c r="E15" s="46"/>
      <c r="F15" s="47"/>
      <c r="G15" s="11">
        <v>1264297.8764116806</v>
      </c>
      <c r="H15" s="22" t="s">
        <v>3</v>
      </c>
      <c r="I15" s="1"/>
    </row>
    <row r="16" spans="1:9" x14ac:dyDescent="0.25">
      <c r="A16" s="1"/>
      <c r="B16" s="45" t="s">
        <v>37</v>
      </c>
      <c r="C16" s="46"/>
      <c r="D16" s="46"/>
      <c r="E16" s="46"/>
      <c r="F16" s="47"/>
      <c r="G16" s="11">
        <v>2229645.8606487266</v>
      </c>
      <c r="H16" s="22" t="s">
        <v>3</v>
      </c>
      <c r="I16" s="1"/>
    </row>
    <row r="17" spans="1:9" ht="26.25" customHeight="1" x14ac:dyDescent="0.25">
      <c r="A17" s="1"/>
      <c r="B17" s="48" t="s">
        <v>75</v>
      </c>
      <c r="C17" s="49"/>
      <c r="D17" s="49"/>
      <c r="E17" s="49"/>
      <c r="F17" s="50"/>
      <c r="G17" s="34">
        <f>SUM(G15:G16)</f>
        <v>3493943.7370604072</v>
      </c>
      <c r="H17" s="35" t="s">
        <v>3</v>
      </c>
      <c r="I17" s="1"/>
    </row>
    <row r="18" spans="1:9" x14ac:dyDescent="0.25">
      <c r="A18" s="1"/>
      <c r="B18" s="23"/>
      <c r="C18" s="23"/>
      <c r="D18" s="23"/>
      <c r="E18" s="23"/>
      <c r="F18" s="23"/>
      <c r="G18" s="23"/>
      <c r="H18" s="23"/>
      <c r="I18" s="1"/>
    </row>
    <row r="19" spans="1:9" x14ac:dyDescent="0.25">
      <c r="A19" s="1"/>
      <c r="B19" s="23"/>
      <c r="C19" s="23"/>
      <c r="D19" s="23"/>
      <c r="E19" s="23"/>
      <c r="F19" s="23"/>
      <c r="G19" s="23"/>
      <c r="H19" s="23"/>
      <c r="I19" s="1"/>
    </row>
    <row r="20" spans="1:9" x14ac:dyDescent="0.25">
      <c r="A20" s="1"/>
      <c r="B20" s="38" t="s">
        <v>27</v>
      </c>
      <c r="C20" s="39"/>
      <c r="D20" s="39"/>
      <c r="E20" s="39"/>
      <c r="F20" s="39"/>
      <c r="G20" s="39"/>
      <c r="H20" s="40"/>
      <c r="I20" s="1"/>
    </row>
    <row r="21" spans="1:9" x14ac:dyDescent="0.25">
      <c r="A21" s="1"/>
      <c r="B21" s="45" t="s">
        <v>76</v>
      </c>
      <c r="C21" s="46"/>
      <c r="D21" s="46"/>
      <c r="E21" s="46"/>
      <c r="F21" s="47"/>
      <c r="G21" s="11">
        <f>G15-G9</f>
        <v>0</v>
      </c>
      <c r="H21" s="22" t="s">
        <v>3</v>
      </c>
      <c r="I21" s="1"/>
    </row>
    <row r="22" spans="1:9" x14ac:dyDescent="0.25">
      <c r="A22" s="1"/>
      <c r="B22" s="45" t="s">
        <v>77</v>
      </c>
      <c r="C22" s="46"/>
      <c r="D22" s="46"/>
      <c r="E22" s="46"/>
      <c r="F22" s="47"/>
      <c r="G22" s="11">
        <f>G16-G10</f>
        <v>65492.29719266016</v>
      </c>
      <c r="H22" s="22" t="s">
        <v>3</v>
      </c>
      <c r="I22" s="1"/>
    </row>
    <row r="23" spans="1:9" ht="15" customHeight="1" x14ac:dyDescent="0.25">
      <c r="A23" s="1"/>
      <c r="B23" s="48" t="s">
        <v>139</v>
      </c>
      <c r="C23" s="49"/>
      <c r="D23" s="49"/>
      <c r="E23" s="49"/>
      <c r="F23" s="50"/>
      <c r="G23" s="20">
        <f>SUM(G21:G22)</f>
        <v>65492.29719266016</v>
      </c>
      <c r="H23" s="21" t="s">
        <v>3</v>
      </c>
      <c r="I23" s="1"/>
    </row>
    <row r="24" spans="1:9" ht="15" customHeight="1" x14ac:dyDescent="0.25">
      <c r="A24" s="1"/>
      <c r="B24" s="48" t="s">
        <v>140</v>
      </c>
      <c r="C24" s="49"/>
      <c r="D24" s="49"/>
      <c r="E24" s="49"/>
      <c r="F24" s="50"/>
      <c r="G24" s="20">
        <f>G23*(1+Prisudvikling2019)^3</f>
        <v>68869.188544141114</v>
      </c>
      <c r="H24" s="21" t="s">
        <v>3</v>
      </c>
      <c r="I24" s="1"/>
    </row>
    <row r="25" spans="1:9" x14ac:dyDescent="0.25">
      <c r="A25" s="1"/>
      <c r="B25" s="23"/>
      <c r="C25" s="23"/>
      <c r="D25" s="23"/>
      <c r="E25" s="23"/>
      <c r="F25" s="23"/>
      <c r="G25" s="23"/>
      <c r="H25" s="23"/>
      <c r="I25" s="1"/>
    </row>
    <row r="26" spans="1:9" ht="26.25" customHeight="1" x14ac:dyDescent="0.25">
      <c r="A26" s="1"/>
      <c r="B26" s="54" t="s">
        <v>111</v>
      </c>
      <c r="C26" s="54"/>
      <c r="D26" s="54"/>
      <c r="E26" s="54"/>
      <c r="F26" s="54"/>
      <c r="G26" s="54"/>
      <c r="H26" s="54"/>
      <c r="I26" s="1"/>
    </row>
    <row r="27" spans="1:9" ht="26.25" x14ac:dyDescent="0.25">
      <c r="A27" s="1"/>
      <c r="B27" s="54" t="s">
        <v>151</v>
      </c>
      <c r="C27" s="23"/>
      <c r="D27" s="23"/>
      <c r="E27" s="23"/>
      <c r="F27" s="23"/>
      <c r="G27" s="23"/>
      <c r="H27" s="23"/>
      <c r="I27" s="1"/>
    </row>
    <row r="28" spans="1:9" x14ac:dyDescent="0.25">
      <c r="A28" s="1"/>
      <c r="B28" s="24"/>
      <c r="C28" s="1"/>
      <c r="D28" s="1"/>
      <c r="E28" s="1"/>
      <c r="F28" s="1"/>
      <c r="G28" s="23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H50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85546875" style="2" customWidth="1"/>
    <col min="3" max="3" width="0" style="2" hidden="1" customWidth="1"/>
    <col min="4" max="4" width="28.5703125" style="2" hidden="1" customWidth="1"/>
    <col min="5" max="5" width="25" style="2" customWidth="1"/>
    <col min="6" max="6" width="3.28515625" style="2" customWidth="1"/>
    <col min="7" max="7" width="6.28515625" style="2" customWidth="1"/>
    <col min="8" max="8" width="5.8554687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4" t="s">
        <v>133</v>
      </c>
      <c r="C3" s="84"/>
      <c r="D3" s="84"/>
      <c r="E3" s="84"/>
      <c r="F3" s="84"/>
      <c r="G3" s="1"/>
      <c r="H3" s="1"/>
    </row>
    <row r="4" spans="1:8" ht="15" customHeight="1" x14ac:dyDescent="0.25">
      <c r="A4" s="1"/>
      <c r="B4" s="84"/>
      <c r="C4" s="84"/>
      <c r="D4" s="84"/>
      <c r="E4" s="84"/>
      <c r="F4" s="84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8" t="s">
        <v>81</v>
      </c>
      <c r="C8" s="39"/>
      <c r="D8" s="39"/>
      <c r="E8" s="39"/>
      <c r="F8" s="40"/>
      <c r="G8" s="1"/>
      <c r="H8" s="1"/>
    </row>
    <row r="9" spans="1:8" ht="15" customHeight="1" x14ac:dyDescent="0.25">
      <c r="A9" s="1"/>
      <c r="B9" s="29" t="s">
        <v>108</v>
      </c>
      <c r="C9" s="30"/>
      <c r="D9" s="36"/>
      <c r="E9" s="18" t="s">
        <v>56</v>
      </c>
      <c r="F9" s="18"/>
      <c r="G9" s="1"/>
      <c r="H9" s="1"/>
    </row>
    <row r="10" spans="1:8" x14ac:dyDescent="0.25">
      <c r="A10" s="1"/>
      <c r="B10" s="41" t="s">
        <v>161</v>
      </c>
      <c r="C10" s="46"/>
      <c r="D10" s="47"/>
      <c r="E10" s="11">
        <v>1600638</v>
      </c>
      <c r="F10" s="22" t="s">
        <v>3</v>
      </c>
      <c r="G10" s="1"/>
      <c r="H10" s="1"/>
    </row>
    <row r="11" spans="1:8" x14ac:dyDescent="0.25">
      <c r="A11" s="1"/>
      <c r="B11" s="41" t="s">
        <v>148</v>
      </c>
      <c r="C11" s="46"/>
      <c r="D11" s="47"/>
      <c r="E11" s="11">
        <v>3746</v>
      </c>
      <c r="F11" s="22" t="s">
        <v>3</v>
      </c>
      <c r="G11" s="1"/>
      <c r="H11" s="1"/>
    </row>
    <row r="12" spans="1:8" x14ac:dyDescent="0.25">
      <c r="A12" s="1"/>
      <c r="B12" s="41" t="s">
        <v>149</v>
      </c>
      <c r="C12" s="46"/>
      <c r="D12" s="47"/>
      <c r="E12" s="11">
        <v>18441</v>
      </c>
      <c r="F12" s="22" t="s">
        <v>3</v>
      </c>
      <c r="G12" s="1"/>
      <c r="H12" s="1"/>
    </row>
    <row r="13" spans="1:8" x14ac:dyDescent="0.25">
      <c r="A13" s="1"/>
      <c r="B13" s="38" t="s">
        <v>136</v>
      </c>
      <c r="C13" s="39"/>
      <c r="D13" s="40"/>
      <c r="E13" s="20">
        <f>SUM(E10:E12)</f>
        <v>1622825</v>
      </c>
      <c r="F13" s="21" t="s">
        <v>3</v>
      </c>
      <c r="G13" s="1"/>
      <c r="H13" s="1"/>
    </row>
    <row r="14" spans="1:8" x14ac:dyDescent="0.25">
      <c r="A14" s="1"/>
      <c r="B14" s="38" t="s">
        <v>137</v>
      </c>
      <c r="C14" s="39"/>
      <c r="D14" s="40"/>
      <c r="E14" s="20">
        <f>E13*(1+Prisudvikling2019)^2</f>
        <v>1678139.9800482497</v>
      </c>
      <c r="F14" s="21" t="s">
        <v>3</v>
      </c>
      <c r="G14" s="1"/>
      <c r="H14" s="1"/>
    </row>
    <row r="15" spans="1:8" x14ac:dyDescent="0.25">
      <c r="A15" s="1"/>
      <c r="B15" s="24"/>
      <c r="C15" s="23"/>
      <c r="D15" s="23"/>
      <c r="E15" s="23"/>
      <c r="F15" s="23"/>
      <c r="G15" s="1"/>
      <c r="H15" s="1"/>
    </row>
    <row r="16" spans="1:8" x14ac:dyDescent="0.25">
      <c r="A16" s="1"/>
      <c r="B16" s="23"/>
      <c r="C16" s="23"/>
      <c r="D16" s="23"/>
      <c r="E16" s="23"/>
      <c r="F16" s="23"/>
      <c r="G16" s="1"/>
      <c r="H16" s="1"/>
    </row>
    <row r="17" spans="1:8" x14ac:dyDescent="0.25">
      <c r="A17" s="1"/>
      <c r="B17" s="1"/>
      <c r="C17" s="1"/>
      <c r="D17" s="1"/>
      <c r="E17" s="23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  <row r="50" spans="1:8" x14ac:dyDescent="0.25">
      <c r="A50" s="1"/>
      <c r="B50" s="1"/>
      <c r="C50" s="1"/>
      <c r="D50" s="1"/>
      <c r="E50" s="1"/>
      <c r="F50" s="1"/>
      <c r="G50" s="1"/>
      <c r="H50" s="1"/>
    </row>
  </sheetData>
  <sheetProtection password="DFE9" sheet="1" objects="1" scenarios="1"/>
  <mergeCells count="1">
    <mergeCell ref="B3:F4"/>
  </mergeCells>
  <pageMargins left="0.75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35"/>
  <sheetViews>
    <sheetView showGridLines="0" view="pageLayout" zoomScaleNormal="100" workbookViewId="0"/>
  </sheetViews>
  <sheetFormatPr defaultColWidth="9.140625" defaultRowHeight="15" x14ac:dyDescent="0.25"/>
  <cols>
    <col min="1" max="1" width="1.85546875" style="2" customWidth="1"/>
    <col min="2" max="3" width="9.140625" style="2"/>
    <col min="4" max="4" width="35.85546875" style="2" customWidth="1"/>
    <col min="5" max="5" width="12.42578125" style="2" customWidth="1"/>
    <col min="6" max="6" width="3.28515625" style="2" customWidth="1"/>
    <col min="7" max="7" width="10.7109375" style="2" customWidth="1"/>
    <col min="8" max="8" width="3.28515625" style="2" customWidth="1"/>
    <col min="9" max="9" width="1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86" t="s">
        <v>128</v>
      </c>
      <c r="C3" s="86"/>
      <c r="D3" s="86"/>
      <c r="E3" s="86"/>
      <c r="F3" s="86"/>
      <c r="G3" s="86"/>
      <c r="H3" s="86"/>
      <c r="I3" s="1"/>
    </row>
    <row r="4" spans="1:9" ht="1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0" t="s">
        <v>124</v>
      </c>
      <c r="C8" s="91"/>
      <c r="D8" s="91"/>
      <c r="E8" s="91"/>
      <c r="F8" s="91"/>
      <c r="G8" s="91"/>
      <c r="H8" s="92"/>
      <c r="I8" s="1"/>
    </row>
    <row r="9" spans="1:9" x14ac:dyDescent="0.25">
      <c r="A9" s="1"/>
      <c r="B9" s="93" t="s">
        <v>33</v>
      </c>
      <c r="C9" s="94"/>
      <c r="D9" s="95"/>
      <c r="E9" s="11">
        <v>126373.97999999998</v>
      </c>
      <c r="F9" s="22" t="s">
        <v>3</v>
      </c>
      <c r="G9" s="19"/>
      <c r="H9" s="27"/>
      <c r="I9" s="1"/>
    </row>
    <row r="10" spans="1:9" x14ac:dyDescent="0.25">
      <c r="A10" s="1"/>
      <c r="B10" s="87" t="s">
        <v>115</v>
      </c>
      <c r="C10" s="88"/>
      <c r="D10" s="89"/>
      <c r="E10" s="11">
        <v>4</v>
      </c>
      <c r="F10" s="22" t="s">
        <v>42</v>
      </c>
      <c r="G10" s="14"/>
      <c r="H10" s="28"/>
      <c r="I10" s="1"/>
    </row>
    <row r="11" spans="1:9" x14ac:dyDescent="0.25">
      <c r="A11" s="1"/>
      <c r="B11" s="87" t="s">
        <v>125</v>
      </c>
      <c r="C11" s="88"/>
      <c r="D11" s="89"/>
      <c r="E11" s="11">
        <f>E9/E10</f>
        <v>31593.494999999995</v>
      </c>
      <c r="F11" s="22" t="s">
        <v>3</v>
      </c>
      <c r="G11" s="14"/>
      <c r="H11" s="28"/>
      <c r="I11" s="1"/>
    </row>
    <row r="12" spans="1:9" x14ac:dyDescent="0.25">
      <c r="A12" s="1"/>
      <c r="B12" s="90" t="s">
        <v>131</v>
      </c>
      <c r="C12" s="91"/>
      <c r="D12" s="91"/>
      <c r="E12" s="91"/>
      <c r="F12" s="92"/>
      <c r="G12" s="20">
        <f>E11</f>
        <v>31593.494999999995</v>
      </c>
      <c r="H12" s="21" t="s">
        <v>3</v>
      </c>
      <c r="I12" s="1"/>
    </row>
    <row r="13" spans="1:9" x14ac:dyDescent="0.25">
      <c r="A13" s="1"/>
      <c r="B13" s="90" t="s">
        <v>127</v>
      </c>
      <c r="C13" s="91"/>
      <c r="D13" s="91"/>
      <c r="E13" s="91"/>
      <c r="F13" s="92"/>
      <c r="G13" s="20">
        <f>G12*(1+Prisudvikling2018)*(1+Prisudvikling2019)^4</f>
        <v>34375.187776674626</v>
      </c>
      <c r="H13" s="21" t="s">
        <v>3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90" t="s">
        <v>122</v>
      </c>
      <c r="C17" s="91"/>
      <c r="D17" s="91"/>
      <c r="E17" s="91"/>
      <c r="F17" s="91"/>
      <c r="G17" s="91"/>
      <c r="H17" s="92"/>
      <c r="I17" s="1"/>
    </row>
    <row r="18" spans="1:9" x14ac:dyDescent="0.25">
      <c r="A18" s="1"/>
      <c r="B18" s="93" t="s">
        <v>122</v>
      </c>
      <c r="C18" s="94"/>
      <c r="D18" s="95"/>
      <c r="E18" s="11">
        <v>-426260</v>
      </c>
      <c r="F18" s="22" t="s">
        <v>3</v>
      </c>
      <c r="G18" s="14"/>
      <c r="H18" s="28"/>
      <c r="I18" s="1"/>
    </row>
    <row r="19" spans="1:9" x14ac:dyDescent="0.25">
      <c r="A19" s="1"/>
      <c r="B19" s="87" t="s">
        <v>115</v>
      </c>
      <c r="C19" s="88"/>
      <c r="D19" s="89"/>
      <c r="E19" s="11">
        <v>4</v>
      </c>
      <c r="F19" s="22" t="s">
        <v>42</v>
      </c>
      <c r="G19" s="14"/>
      <c r="H19" s="28"/>
      <c r="I19" s="1"/>
    </row>
    <row r="20" spans="1:9" x14ac:dyDescent="0.25">
      <c r="A20" s="1"/>
      <c r="B20" s="87" t="s">
        <v>126</v>
      </c>
      <c r="C20" s="88"/>
      <c r="D20" s="89"/>
      <c r="E20" s="11">
        <f>E18/E19</f>
        <v>-106565</v>
      </c>
      <c r="F20" s="22" t="s">
        <v>3</v>
      </c>
      <c r="G20" s="14"/>
      <c r="H20" s="28"/>
      <c r="I20" s="1"/>
    </row>
    <row r="21" spans="1:9" x14ac:dyDescent="0.25">
      <c r="A21" s="1"/>
      <c r="B21" s="90" t="s">
        <v>131</v>
      </c>
      <c r="C21" s="91"/>
      <c r="D21" s="91"/>
      <c r="E21" s="91"/>
      <c r="F21" s="92"/>
      <c r="G21" s="20">
        <f>E20</f>
        <v>-106565</v>
      </c>
      <c r="H21" s="21" t="s">
        <v>3</v>
      </c>
      <c r="I21" s="1"/>
    </row>
    <row r="22" spans="1:9" x14ac:dyDescent="0.25">
      <c r="A22" s="1"/>
      <c r="B22" s="90" t="s">
        <v>127</v>
      </c>
      <c r="C22" s="91"/>
      <c r="D22" s="91"/>
      <c r="E22" s="91"/>
      <c r="F22" s="92"/>
      <c r="G22" s="20">
        <f>G21*(1+Prisudvikling2018)*(1+Prisudvikling2019)^4</f>
        <v>-115947.66218239965</v>
      </c>
      <c r="H22" s="21" t="s">
        <v>3</v>
      </c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</sheetData>
  <sheetProtection password="DFE9" sheet="1" objects="1" scenarios="1"/>
  <mergeCells count="13">
    <mergeCell ref="B21:F21"/>
    <mergeCell ref="B22:F22"/>
    <mergeCell ref="B17:H17"/>
    <mergeCell ref="B18:D18"/>
    <mergeCell ref="B19:D19"/>
    <mergeCell ref="B20:D20"/>
    <mergeCell ref="B10:D10"/>
    <mergeCell ref="B11:D11"/>
    <mergeCell ref="B12:F12"/>
    <mergeCell ref="B13:F13"/>
    <mergeCell ref="B3:H4"/>
    <mergeCell ref="B8:H8"/>
    <mergeCell ref="B9:D9"/>
  </mergeCells>
  <pageMargins left="0.6875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15</vt:i4>
      </vt:variant>
      <vt:variant>
        <vt:lpstr>Navngivne områder</vt:lpstr>
      </vt:variant>
      <vt:variant>
        <vt:i4>4</vt:i4>
      </vt:variant>
    </vt:vector>
  </HeadingPairs>
  <TitlesOfParts>
    <vt:vector size="19" baseType="lpstr">
      <vt:lpstr>1. Forside</vt:lpstr>
      <vt:lpstr>Fane 2.1. Økonomisk ramme 2019</vt:lpstr>
      <vt:lpstr>Fane 2.2. Økonomisk ramme 2020</vt:lpstr>
      <vt:lpstr>Fane 2.3. Økonomisk ramme 2021</vt:lpstr>
      <vt:lpstr>Fane 2.4. Økonomisk ramme 2022</vt:lpstr>
      <vt:lpstr>Fane 3. Omkostninger i ØR2018</vt:lpstr>
      <vt:lpstr>Fane 4. Korrigeret grundlag</vt:lpstr>
      <vt:lpstr>Fane 5. Ikke-påvirkelige omk.</vt:lpstr>
      <vt:lpstr>Fane 6. Korrektion prisloft 16</vt:lpstr>
      <vt:lpstr>Fane 7. Hist. over el. underdæk</vt:lpstr>
      <vt:lpstr>Fane 8. Kontrol af ØR2017</vt:lpstr>
      <vt:lpstr>Fane 9. Anlægsprojekter</vt:lpstr>
      <vt:lpstr>Fane 10. Tillæg</vt:lpstr>
      <vt:lpstr>Fane 11. Bortfald</vt:lpstr>
      <vt:lpstr>Fane 12. Nøgletal</vt:lpstr>
      <vt:lpstr>GenereltKrav</vt:lpstr>
      <vt:lpstr>Prisudvikling2017</vt:lpstr>
      <vt:lpstr>Prisudvikling2018</vt:lpstr>
      <vt:lpstr>Prisudvikling2019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2018-09-12T09:07:10Z</dcterms:modified>
</cp:coreProperties>
</file>