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22" i="23" l="1"/>
  <c r="C23" i="22"/>
  <c r="C23" i="15"/>
  <c r="C27" i="2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E10" i="11" l="1"/>
  <c r="G12" i="11"/>
  <c r="F12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2" i="19"/>
  <c r="E13" i="19" s="1"/>
  <c r="C24" i="2" l="1"/>
  <c r="E27" i="2" s="1"/>
  <c r="C20" i="22"/>
  <c r="E23" i="22" s="1"/>
  <c r="C19" i="23"/>
  <c r="C20" i="15"/>
  <c r="E23" i="15" l="1"/>
  <c r="E22" i="23"/>
  <c r="G11" i="10"/>
  <c r="E32" i="2" l="1"/>
  <c r="G13" i="10"/>
  <c r="C25" i="15" s="1"/>
  <c r="E25" i="15" l="1"/>
  <c r="D12" i="20"/>
  <c r="C10" i="2" s="1"/>
  <c r="C16" i="2" s="1"/>
  <c r="C12" i="15" l="1"/>
  <c r="C12" i="22" s="1"/>
  <c r="C11" i="23" s="1"/>
  <c r="E11" i="11"/>
  <c r="E12" i="11" l="1"/>
  <c r="F10" i="20" s="1"/>
  <c r="F11" i="20" s="1"/>
  <c r="F12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1" i="15" s="1"/>
  <c r="C14" i="15" l="1"/>
  <c r="E14" i="15" s="1"/>
  <c r="E28" i="15" s="1"/>
  <c r="C9" i="22" l="1"/>
  <c r="C10" i="22" l="1"/>
  <c r="C11" i="22" s="1"/>
  <c r="C14" i="22" l="1"/>
  <c r="E14" i="22" s="1"/>
  <c r="E26" i="22" s="1"/>
  <c r="C8" i="23" l="1"/>
  <c r="C9" i="23" l="1"/>
  <c r="C10" i="23" l="1"/>
  <c r="C13" i="23" s="1"/>
  <c r="E13" i="23" s="1"/>
  <c r="E23" i="23" s="1"/>
</calcChain>
</file>

<file path=xl/sharedStrings.xml><?xml version="1.0" encoding="utf-8"?>
<sst xmlns="http://schemas.openxmlformats.org/spreadsheetml/2006/main" count="327" uniqueCount="142">
  <si>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</si>
  <si>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</si>
  <si>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</si>
  <si>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</si>
  <si>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</si>
  <si>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</si>
  <si>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</si>
  <si>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</si>
  <si>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</si>
  <si>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</si>
  <si>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</si>
  <si>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</si>
  <si>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</si>
  <si>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</si>
  <si>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</si>
  <si>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</si>
  <si>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</si>
  <si>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</si>
  <si>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</si>
  <si>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</si>
  <si>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</si>
  <si>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</si>
  <si>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</si>
  <si>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</si>
  <si>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</si>
  <si>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</si>
  <si>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</si>
  <si>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</si>
  <si>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</si>
  <si>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</si>
  <si>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</si>
  <si>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</si>
  <si>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</si>
  <si>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</si>
  <si>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</si>
  <si>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</si>
  <si>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</si>
  <si>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</si>
  <si>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</si>
  <si>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</si>
  <si>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</si>
  <si>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</si>
  <si>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</si>
  <si>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</si>
  <si>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</si>
  <si>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</si>
  <si>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</si>
  <si>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</si>
  <si>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</si>
  <si>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</si>
  <si>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</si>
  <si>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</si>
  <si>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</si>
  <si>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</si>
  <si>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</si>
  <si>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</si>
  <si>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</si>
  <si>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</si>
  <si>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</si>
  <si>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</si>
  <si>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</si>
  <si>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</si>
  <si>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</si>
  <si>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</si>
  <si>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</si>
  <si>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</si>
  <si>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</si>
  <si>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</si>
  <si>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</si>
  <si>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</si>
  <si>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</si>
  <si>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</si>
  <si>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</si>
  <si>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</si>
  <si>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</si>
  <si>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</si>
  <si>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</si>
  <si>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</si>
  <si>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</si>
  <si>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</si>
  <si>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</si>
  <si>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</si>
  <si>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</si>
  <si>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</si>
  <si>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</si>
  <si>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</si>
  <si>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</si>
  <si>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</si>
  <si>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</si>
  <si>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</si>
  <si>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</si>
  <si>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</si>
  <si>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</si>
  <si>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</si>
  <si>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</si>
  <si>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</si>
  <si>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</si>
  <si>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</si>
  <si>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</si>
  <si>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</si>
  <si>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</si>
  <si>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</si>
  <si>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</si>
  <si>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</si>
  <si>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</si>
  <si>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</si>
  <si>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</si>
  <si>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</si>
  <si>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</si>
  <si>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</si>
  <si>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</si>
  <si>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</si>
  <si>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</si>
  <si>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</si>
  <si>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</si>
  <si>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</si>
  <si>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</si>
  <si>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</si>
  <si>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</si>
  <si>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</si>
  <si>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</si>
  <si>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</si>
  <si>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</si>
  <si>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</si>
  <si>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</si>
  <si>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</si>
  <si>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</si>
  <si>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</si>
  <si>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</si>
  <si>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</si>
  <si>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</si>
  <si>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</si>
  <si>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</si>
  <si>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</si>
  <si>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</si>
  <si>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Spildevandsafgift</t>
  </si>
  <si>
    <t>Afgift til Forsyningsekretariatet</t>
  </si>
  <si>
    <t xml:space="preserve">Medfinansiering efter prisloftbekendtgørelsen </t>
  </si>
  <si>
    <t>Fane 10: Bortfald eller nedsættelse af omkostninger til mål, medfinansiering eller udvidelse</t>
  </si>
  <si>
    <t>Fane 11: Nøgletal</t>
  </si>
  <si>
    <t>Ø 200 mm &lt; Ledningsnet ≤ Ø 500 mm</t>
  </si>
  <si>
    <t>Pumpestationer i brønde (&lt; 6,25 m2), Mek/EL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</si>
</sst>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3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3" t="s">
        <v>123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4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8" t="s">
        <v>31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30</v>
      </c>
      <c r="D14" s="78" t="s">
        <v>95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94</v>
      </c>
      <c r="D15" s="78" t="s">
        <v>97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96</v>
      </c>
      <c r="D16" s="78" t="s">
        <v>124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6</v>
      </c>
      <c r="D17" s="84" t="s">
        <v>98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7</v>
      </c>
      <c r="D18" s="84" t="s">
        <v>99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8</v>
      </c>
      <c r="D19" s="69" t="s">
        <v>103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9</v>
      </c>
      <c r="D20" s="72" t="s">
        <v>100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10</v>
      </c>
      <c r="D21" s="72" t="s">
        <v>122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</v>
      </c>
      <c r="D22" s="72" t="s">
        <v>104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12</v>
      </c>
      <c r="D23" s="75" t="s">
        <v>28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26</v>
      </c>
      <c r="D24" s="66" t="s">
        <v>101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6" t="s">
        <v>54</v>
      </c>
      <c r="E25" s="67"/>
      <c r="F25" s="67"/>
      <c r="G25" s="6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3" t="s">
        <v>105</v>
      </c>
      <c r="C9" s="94"/>
      <c r="D9" s="95"/>
      <c r="E9" s="11">
        <v>54573701.85020081</v>
      </c>
      <c r="F9" s="22" t="s">
        <v>2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53884939</v>
      </c>
      <c r="F10" s="22" t="s">
        <v>2</v>
      </c>
      <c r="G10" s="14"/>
      <c r="H10" s="28"/>
      <c r="I10" s="1"/>
    </row>
    <row r="11" spans="1:9" x14ac:dyDescent="0.25">
      <c r="A11" s="1"/>
      <c r="B11" s="93" t="s">
        <v>112</v>
      </c>
      <c r="C11" s="94"/>
      <c r="D11" s="95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688762.85020080954</v>
      </c>
      <c r="F12" s="25" t="s">
        <v>2</v>
      </c>
      <c r="G12" s="17">
        <f>E12</f>
        <v>688762.85020080954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6" t="s">
        <v>118</v>
      </c>
      <c r="C18" s="97"/>
      <c r="D18" s="98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6" t="s">
        <v>113</v>
      </c>
      <c r="C19" s="97"/>
      <c r="D19" s="98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6" t="s">
        <v>119</v>
      </c>
      <c r="C20" s="97"/>
      <c r="D20" s="98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26.25" x14ac:dyDescent="0.25">
      <c r="A10" s="1"/>
      <c r="B10" s="99" t="s">
        <v>140</v>
      </c>
      <c r="C10" s="100">
        <v>75</v>
      </c>
      <c r="D10" s="11">
        <v>1533157</v>
      </c>
      <c r="E10" s="11">
        <f>D10/C10</f>
        <v>20442.093333333334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99" t="s">
        <v>141</v>
      </c>
      <c r="C11" s="100">
        <v>20</v>
      </c>
      <c r="D11" s="11">
        <v>237251</v>
      </c>
      <c r="E11" s="11">
        <f t="shared" ref="E11" si="0">D11/C11</f>
        <v>11862.55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89" t="s">
        <v>131</v>
      </c>
      <c r="C12" s="90"/>
      <c r="D12" s="91"/>
      <c r="E12" s="20">
        <f>SUM(E10:E11)</f>
        <v>32304.643333333333</v>
      </c>
      <c r="F12" s="20">
        <f>SUM(F10:F11)</f>
        <v>0</v>
      </c>
      <c r="G12" s="20">
        <f>SUM(G10:G11)</f>
        <v>0</v>
      </c>
      <c r="H12" s="21" t="s">
        <v>2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3">
    <mergeCell ref="B3:H4"/>
    <mergeCell ref="B8:H8"/>
    <mergeCell ref="B12:D12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Anlægsprojekter'!F12</f>
        <v>0</v>
      </c>
      <c r="E10" s="22" t="s">
        <v>2</v>
      </c>
      <c r="F10" s="11">
        <f>SUM('Fane 8. Anlægsprojekter'!E12,'Fane 8. Anlægsprojekter'!G12)</f>
        <v>32304.643333333333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32304.643333333333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32850.591805666663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138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101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139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7.6297360015029009E-3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50865959.20316641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32850.591805666663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890709.46105692803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-395140.35956825223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-448928.25644999783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-531214.733799443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50414235.906211309</v>
      </c>
      <c r="D18" s="18" t="s">
        <v>2</v>
      </c>
      <c r="E18" s="17">
        <f>C18</f>
        <v>50414235.906211309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omk.'!E13</f>
        <v>1133985.5185252698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6" t="s">
        <v>137</v>
      </c>
      <c r="C26" s="11">
        <v>1945869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3079854.5185252698</v>
      </c>
      <c r="D27" s="18" t="s">
        <v>2</v>
      </c>
      <c r="E27" s="17">
        <f>C27</f>
        <v>3079854.5185252698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45" t="s">
        <v>81</v>
      </c>
      <c r="C29" s="7">
        <v>0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45" t="s">
        <v>51</v>
      </c>
      <c r="C30" s="7">
        <v>0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6" t="s">
        <v>52</v>
      </c>
      <c r="C31" s="7">
        <v>16246.270580842383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7" t="s">
        <v>53</v>
      </c>
      <c r="C32" s="17">
        <f>SUM(C29:C31)</f>
        <v>16246.270580842383</v>
      </c>
      <c r="D32" s="18" t="s">
        <v>2</v>
      </c>
      <c r="E32" s="17">
        <f>C32</f>
        <v>16246.270580842383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7" t="s">
        <v>24</v>
      </c>
      <c r="C34" s="17">
        <f>'Fane 6. Hist. over el. underdæk'!G13</f>
        <v>-2219619.5</v>
      </c>
      <c r="D34" s="18" t="s">
        <v>2</v>
      </c>
      <c r="E34" s="17">
        <f>C34</f>
        <v>-2219619.5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51290717.195317425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50414235.906211309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852000.58681497106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-391147.85023240442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-447384.8411043227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-260818.5581817521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50166885.243507795</v>
      </c>
      <c r="D14" s="18" t="s">
        <v>2</v>
      </c>
      <c r="E14" s="17">
        <f>C14</f>
        <v>50166885.243507795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6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6" t="s">
        <v>22</v>
      </c>
      <c r="C20" s="11">
        <f>'Fane 4. Ikke-påvirkelige omk.'!E13*(1+Prisudvikling2019)</f>
        <v>1153149.8737883468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137</v>
      </c>
      <c r="C22" s="11">
        <v>1945869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3099018.8737883465</v>
      </c>
      <c r="D23" s="18" t="s">
        <v>2</v>
      </c>
      <c r="E23" s="17">
        <f>C23</f>
        <v>3099018.8737883465</v>
      </c>
      <c r="F23" s="18" t="s">
        <v>2</v>
      </c>
      <c r="G23" s="1"/>
    </row>
    <row r="24" spans="1:7" x14ac:dyDescent="0.25">
      <c r="A24" s="1"/>
      <c r="B24" s="89" t="s">
        <v>15</v>
      </c>
      <c r="C24" s="90"/>
      <c r="D24" s="90"/>
      <c r="E24" s="90"/>
      <c r="F24" s="91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-2219619.5</v>
      </c>
      <c r="D25" s="18" t="s">
        <v>2</v>
      </c>
      <c r="E25" s="17">
        <f>C25</f>
        <v>-2219619.5</v>
      </c>
      <c r="F25" s="18" t="s">
        <v>2</v>
      </c>
      <c r="G25" s="1"/>
    </row>
    <row r="26" spans="1:7" x14ac:dyDescent="0.25">
      <c r="A26" s="1"/>
      <c r="B26" s="89" t="s">
        <v>116</v>
      </c>
      <c r="C26" s="90"/>
      <c r="D26" s="90"/>
      <c r="E26" s="90"/>
      <c r="F26" s="91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0</v>
      </c>
      <c r="D27" s="18" t="s">
        <v>2</v>
      </c>
      <c r="E27" s="17">
        <f>C27</f>
        <v>0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51046284.617296144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50166885.243507795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847820.36061528162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-389228.73595384962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-445846.73202060605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-262918.92220623296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49916711.213942386</v>
      </c>
      <c r="D14" s="18" t="s">
        <v>2</v>
      </c>
      <c r="E14" s="17">
        <f>C14</f>
        <v>49916711.213942386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omk.'!E13*(1+Prisudvikling2019)^2</f>
        <v>1172638.1066553697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137</v>
      </c>
      <c r="C22" s="11">
        <v>1945869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3118507.1066553695</v>
      </c>
      <c r="D23" s="18" t="s">
        <v>2</v>
      </c>
      <c r="E23" s="17">
        <f>C23</f>
        <v>3118507.1066553695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53035218.320597753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49916711.213942386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843592.41951562627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-387287.71607941308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-444313.91095591919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-265036.20039919205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49663665.806023486</v>
      </c>
      <c r="D13" s="18" t="s">
        <v>2</v>
      </c>
      <c r="E13" s="17">
        <f>C13</f>
        <v>49663665.806023486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omk.'!E13*(1+Prisudvikling2019)^3</f>
        <v>1192455.6906578452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137</v>
      </c>
      <c r="C21" s="11">
        <v>1945869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3138324.6906578452</v>
      </c>
      <c r="D22" s="18" t="s">
        <v>2</v>
      </c>
      <c r="E22" s="17">
        <f>C22</f>
        <v>3138324.6906578452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52801990.496681333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54797126.153660163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3931166.9504937506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50865959.20316641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3" t="s">
        <v>135</v>
      </c>
      <c r="C10" s="64"/>
      <c r="D10" s="65"/>
      <c r="E10" s="11">
        <v>1043487</v>
      </c>
      <c r="F10" s="22" t="s">
        <v>2</v>
      </c>
      <c r="G10" s="1"/>
      <c r="H10" s="1"/>
    </row>
    <row r="11" spans="1:8" x14ac:dyDescent="0.25">
      <c r="A11" s="1"/>
      <c r="B11" s="63" t="s">
        <v>136</v>
      </c>
      <c r="C11" s="64"/>
      <c r="D11" s="65"/>
      <c r="E11" s="11">
        <v>53120</v>
      </c>
      <c r="F11" s="22" t="s">
        <v>2</v>
      </c>
      <c r="G11" s="1"/>
      <c r="H11" s="1"/>
    </row>
    <row r="12" spans="1:8" x14ac:dyDescent="0.25">
      <c r="A12" s="1"/>
      <c r="B12" s="89" t="s">
        <v>128</v>
      </c>
      <c r="C12" s="90"/>
      <c r="D12" s="91"/>
      <c r="E12" s="20">
        <f>SUM(E10:E11)</f>
        <v>1096607</v>
      </c>
      <c r="F12" s="21" t="s">
        <v>2</v>
      </c>
      <c r="G12" s="1"/>
      <c r="H12" s="1"/>
    </row>
    <row r="13" spans="1:8" x14ac:dyDescent="0.25">
      <c r="A13" s="1"/>
      <c r="B13" s="89" t="s">
        <v>129</v>
      </c>
      <c r="C13" s="90"/>
      <c r="D13" s="91"/>
      <c r="E13" s="20">
        <f>E12*(1+Prisudvikling2019)^2</f>
        <v>1133985.5185252698</v>
      </c>
      <c r="F13" s="21" t="s">
        <v>2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3">
    <mergeCell ref="B3:F4"/>
    <mergeCell ref="B12:D12"/>
    <mergeCell ref="B13:D13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450211.35882264236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22510567.941132117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531194.8802184118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30011010.181831174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3" t="s">
        <v>87</v>
      </c>
      <c r="C17" s="94"/>
      <c r="D17" s="94"/>
      <c r="E17" s="94"/>
      <c r="F17" s="95"/>
      <c r="G17" s="57">
        <v>0.02</v>
      </c>
      <c r="H17" s="22"/>
      <c r="I17" s="1"/>
    </row>
    <row r="18" spans="1:9" x14ac:dyDescent="0.25">
      <c r="A18" s="1"/>
      <c r="B18" s="93" t="s">
        <v>86</v>
      </c>
      <c r="C18" s="94"/>
      <c r="D18" s="94"/>
      <c r="E18" s="94"/>
      <c r="F18" s="95"/>
      <c r="G18" s="57">
        <v>0.02</v>
      </c>
      <c r="H18" s="22"/>
      <c r="I18" s="1"/>
    </row>
    <row r="19" spans="1:9" x14ac:dyDescent="0.25">
      <c r="A19" s="1"/>
      <c r="B19" s="93" t="s">
        <v>88</v>
      </c>
      <c r="C19" s="94"/>
      <c r="D19" s="94"/>
      <c r="E19" s="94"/>
      <c r="F19" s="95"/>
      <c r="G19" s="57">
        <v>1.77E-2</v>
      </c>
      <c r="H19" s="22"/>
      <c r="I19" s="1"/>
    </row>
    <row r="20" spans="1:9" x14ac:dyDescent="0.25">
      <c r="A20" s="1"/>
      <c r="B20" s="93" t="s">
        <v>132</v>
      </c>
      <c r="C20" s="94"/>
      <c r="D20" s="94"/>
      <c r="E20" s="94"/>
      <c r="F20" s="95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-18350600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-13911361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-4439239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-2219619.5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2018-09-13T10:17:53Z</dcterms:modified>
</cp:coreProperties>
</file>