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C36" i="2" l="1"/>
  <c r="E36" i="2"/>
  <c r="E11" i="11" l="1"/>
  <c r="E12" i="11"/>
  <c r="E13" i="11"/>
  <c r="E14" i="11"/>
  <c r="E15" i="11"/>
  <c r="E12" i="34" l="1"/>
  <c r="E18" i="34" l="1"/>
  <c r="E20" i="34" s="1"/>
  <c r="G21" i="34" s="1"/>
  <c r="G22" i="34" s="1"/>
  <c r="C27" i="15" s="1"/>
  <c r="E27" i="15" s="1"/>
  <c r="C16" i="23" l="1"/>
  <c r="C17" i="22"/>
  <c r="C17" i="15"/>
  <c r="C21" i="2"/>
  <c r="G12" i="34" l="1"/>
  <c r="C25" i="22" s="1"/>
  <c r="E25" i="22" s="1"/>
  <c r="G10" i="30" l="1"/>
  <c r="G12" i="30"/>
  <c r="E10" i="11" l="1"/>
  <c r="G17" i="11"/>
  <c r="F17" i="11"/>
  <c r="D10" i="20" s="1"/>
  <c r="C32" i="2" l="1"/>
  <c r="C17" i="23" l="1"/>
  <c r="E17" i="23" s="1"/>
  <c r="C18" i="22" l="1"/>
  <c r="E18" i="22" s="1"/>
  <c r="C18" i="15"/>
  <c r="E18" i="15" s="1"/>
  <c r="C22" i="2"/>
  <c r="E22" i="2" s="1"/>
  <c r="G13" i="27"/>
  <c r="D11" i="20" l="1"/>
  <c r="F11" i="21"/>
  <c r="F12" i="21" s="1"/>
  <c r="C13" i="2" s="1"/>
  <c r="D11" i="21"/>
  <c r="D12" i="21" s="1"/>
  <c r="C12" i="2" s="1"/>
  <c r="C9" i="2"/>
  <c r="E17" i="19"/>
  <c r="E18" i="19" s="1"/>
  <c r="C24" i="2" l="1"/>
  <c r="C20" i="22"/>
  <c r="C19" i="23"/>
  <c r="C22" i="23" s="1"/>
  <c r="C20" i="15"/>
  <c r="C23" i="15" s="1"/>
  <c r="C23" i="22" l="1"/>
  <c r="E23" i="22" s="1"/>
  <c r="C27" i="2"/>
  <c r="E27" i="2" s="1"/>
  <c r="E23" i="15"/>
  <c r="E22" i="23"/>
  <c r="G11" i="10"/>
  <c r="E32" i="2" l="1"/>
  <c r="E37" i="2" s="1"/>
  <c r="G13" i="10"/>
  <c r="C25" i="15" s="1"/>
  <c r="E25" i="15" l="1"/>
  <c r="D12" i="20"/>
  <c r="C10" i="2" s="1"/>
  <c r="C16" i="2" s="1"/>
  <c r="C12" i="15" l="1"/>
  <c r="C12" i="22" s="1"/>
  <c r="C11" i="23" s="1"/>
  <c r="E16" i="11"/>
  <c r="E17" i="11" l="1"/>
  <c r="F10" i="20" s="1"/>
  <c r="F11" i="20" s="1"/>
  <c r="F12" i="20" s="1"/>
  <c r="C11" i="2" s="1"/>
  <c r="C17" i="2" s="1"/>
  <c r="C34" i="2"/>
  <c r="E34" i="2" s="1"/>
  <c r="C13" i="15" l="1"/>
  <c r="C13" i="22" s="1"/>
  <c r="C12" i="23" s="1"/>
  <c r="C14" i="2"/>
  <c r="C15" i="2" s="1"/>
  <c r="C18" i="2" l="1"/>
  <c r="E18" i="2" s="1"/>
  <c r="C9" i="15" l="1"/>
  <c r="C10" i="15" l="1"/>
  <c r="C11" i="15" s="1"/>
  <c r="C14" i="15" l="1"/>
  <c r="E14" i="15" s="1"/>
  <c r="E28" i="15" s="1"/>
  <c r="C9" i="22" l="1"/>
  <c r="C10" i="22" l="1"/>
  <c r="C11" i="22" s="1"/>
  <c r="C14" i="22" l="1"/>
  <c r="E14" i="22" s="1"/>
  <c r="E26" i="22" s="1"/>
  <c r="C8" i="23" l="1"/>
  <c r="C9" i="23" l="1"/>
  <c r="C10" i="23" s="1"/>
  <c r="C13" i="23" l="1"/>
  <c r="E13" i="23" s="1"/>
  <c r="E23" i="23" s="1"/>
</calcChain>
</file>

<file path=xl/sharedStrings.xml><?xml version="1.0" encoding="utf-8"?>
<sst xmlns="http://schemas.openxmlformats.org/spreadsheetml/2006/main" count="351" uniqueCount="152">
  <si>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</si>
  <si>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</si>
  <si>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</si>
  <si>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</si>
  <si>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</si>
  <si>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</si>
  <si>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</si>
  <si>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</si>
  <si>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</si>
  <si>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</si>
  <si>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</si>
  <si>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</si>
  <si>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</si>
  <si>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</si>
  <si>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</si>
  <si>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</si>
  <si>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</si>
  <si>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</si>
  <si>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</si>
  <si>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</si>
  <si>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</si>
  <si>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</si>
  <si>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</si>
  <si>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</si>
  <si>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</si>
  <si>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</si>
  <si>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</si>
  <si>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</si>
  <si>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</si>
  <si>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</si>
  <si>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</si>
  <si>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</si>
  <si>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</si>
  <si>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</si>
  <si>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</si>
  <si>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</si>
  <si>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</si>
  <si>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</si>
  <si>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</si>
  <si>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</si>
  <si>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</si>
  <si>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</si>
  <si>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</si>
  <si>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</si>
  <si>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</si>
  <si>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</si>
  <si>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</si>
  <si>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</si>
  <si>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</si>
  <si>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</si>
  <si>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</si>
  <si>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</si>
  <si>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</si>
  <si>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</si>
  <si>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</si>
  <si>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</si>
  <si>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</si>
  <si>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</si>
  <si>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</si>
  <si>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</si>
  <si>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</si>
  <si>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</si>
  <si>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</si>
  <si>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</si>
  <si>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</si>
  <si>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</si>
  <si>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</si>
  <si>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</si>
  <si>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</si>
  <si>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</si>
  <si>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</si>
  <si>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</si>
  <si>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</si>
  <si>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</si>
  <si>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</si>
  <si>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</si>
  <si>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</si>
  <si>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</si>
  <si>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</si>
  <si>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</si>
  <si>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</si>
  <si>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</si>
  <si>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</si>
  <si>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</si>
  <si>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</si>
  <si>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</si>
  <si>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</si>
  <si>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</si>
  <si>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</si>
  <si>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</si>
  <si>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</si>
  <si>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</si>
  <si>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</si>
  <si>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</si>
  <si>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</si>
  <si>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</si>
  <si>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</si>
  <si>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</si>
  <si>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</si>
  <si>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</si>
  <si>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</si>
  <si>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</si>
  <si>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</si>
  <si>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</si>
  <si>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</si>
  <si>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</si>
  <si>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</si>
  <si>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</si>
  <si>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</si>
  <si>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</si>
  <si>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</si>
  <si>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</si>
  <si>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</si>
  <si>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</si>
  <si>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</si>
  <si>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</si>
  <si>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</si>
  <si>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</si>
  <si>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</si>
  <si>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</si>
  <si>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</si>
  <si>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</si>
  <si>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</si>
  <si>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</si>
  <si>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</si>
  <si>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</si>
  <si>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</si>
  <si>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</si>
  <si>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</si>
  <si>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</si>
  <si>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</si>
  <si>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</si>
  <si>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</si>
  <si>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Periodevise driftsomkostninger under prisloftsbekendtgørelsen</t>
  </si>
  <si>
    <t>Ingen bortfald eller nedsættelse</t>
  </si>
  <si>
    <t>Spildevandsafgift</t>
  </si>
  <si>
    <t>Afgift til Forsyningsekretariatet</t>
  </si>
  <si>
    <t>Køb af ydelser og produkter fra andre vandselskaber reguleret af vandsektorloven</t>
  </si>
  <si>
    <t>Skatter og afgifter</t>
  </si>
  <si>
    <t>Selskabsskatter</t>
  </si>
  <si>
    <t>Erstatninger</t>
  </si>
  <si>
    <t>Undersøgelsesudgifter i forbindelse med fusion</t>
  </si>
  <si>
    <t xml:space="preserve">Medfinansiering efter prisloftbekendtgørelsen </t>
  </si>
  <si>
    <t>Indløb med riste, Konstruktioner</t>
  </si>
  <si>
    <t>Indløb med riste, Mek/EL</t>
  </si>
  <si>
    <t>Indløb med riste, SRO</t>
  </si>
  <si>
    <t>Ø 200 mm &lt; Ledningsnet ≤ Ø 500 mm</t>
  </si>
  <si>
    <t>Pumpestationer i brønde (&lt; 6,25 m2), Konstruktioner</t>
  </si>
  <si>
    <t>Pumpestationer i brønde (&lt; 6,25 m2), Mek/EL</t>
  </si>
  <si>
    <t>Fane 10: Bortfald eller nedsættelse af omkostninger til mål, medfinansiering eller udvidelse</t>
  </si>
  <si>
    <t>Fane 11: Nøgletal</t>
  </si>
  <si>
    <t>Korrektion af allerede opkrævet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</si>
</sst>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0" fontId="8" fillId="9" borderId="10" xfId="0" applyFont="1" applyFill="1" applyBorder="1" applyAlignment="1" applyProtection="1">
      <alignment horizontal="center"/>
    </xf>
    <xf numFmtId="0" fontId="8" fillId="9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 wrapText="1"/>
    </xf>
    <xf numFmtId="0" fontId="0" fillId="0" borderId="10" xfId="0" applyBorder="1" applyAlignment="1" applyProtection="1">
      <alignment horizontal="left"/>
    </xf>
    <xf numFmtId="0" fontId="0" fillId="0" borderId="3" xfId="0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4" t="s">
        <v>3</v>
      </c>
      <c r="E6" s="74"/>
      <c r="F6" s="74"/>
      <c r="G6" s="74"/>
      <c r="H6" s="3"/>
      <c r="I6" s="1"/>
    </row>
    <row r="7" spans="1:9" ht="15" customHeight="1" x14ac:dyDescent="0.25">
      <c r="A7" s="1"/>
      <c r="B7" s="1"/>
      <c r="C7" s="3"/>
      <c r="D7" s="74"/>
      <c r="E7" s="74"/>
      <c r="F7" s="74"/>
      <c r="G7" s="74"/>
      <c r="H7" s="3"/>
      <c r="I7" s="1"/>
    </row>
    <row r="8" spans="1:9" ht="15.75" x14ac:dyDescent="0.25">
      <c r="A8" s="1"/>
      <c r="B8" s="1"/>
      <c r="C8" s="4"/>
      <c r="D8" s="79" t="s">
        <v>123</v>
      </c>
      <c r="E8" s="79"/>
      <c r="F8" s="79"/>
      <c r="G8" s="7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8" t="s">
        <v>4</v>
      </c>
      <c r="E11" s="78"/>
      <c r="F11" s="78"/>
      <c r="G11" s="7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71" t="s">
        <v>31</v>
      </c>
      <c r="E13" s="72"/>
      <c r="F13" s="72"/>
      <c r="G13" s="73"/>
      <c r="H13" s="1"/>
      <c r="I13" s="1"/>
    </row>
    <row r="14" spans="1:9" x14ac:dyDescent="0.25">
      <c r="A14" s="1"/>
      <c r="B14" s="1"/>
      <c r="C14" s="6" t="s">
        <v>30</v>
      </c>
      <c r="D14" s="71" t="s">
        <v>95</v>
      </c>
      <c r="E14" s="72"/>
      <c r="F14" s="72"/>
      <c r="G14" s="73"/>
      <c r="H14" s="1"/>
      <c r="I14" s="1"/>
    </row>
    <row r="15" spans="1:9" x14ac:dyDescent="0.25">
      <c r="A15" s="1"/>
      <c r="B15" s="1"/>
      <c r="C15" s="6" t="s">
        <v>94</v>
      </c>
      <c r="D15" s="71" t="s">
        <v>97</v>
      </c>
      <c r="E15" s="72"/>
      <c r="F15" s="72"/>
      <c r="G15" s="73"/>
      <c r="H15" s="1"/>
      <c r="I15" s="1"/>
    </row>
    <row r="16" spans="1:9" x14ac:dyDescent="0.25">
      <c r="A16" s="1"/>
      <c r="B16" s="1"/>
      <c r="C16" s="6" t="s">
        <v>96</v>
      </c>
      <c r="D16" s="71" t="s">
        <v>124</v>
      </c>
      <c r="E16" s="72"/>
      <c r="F16" s="72"/>
      <c r="G16" s="73"/>
      <c r="H16" s="1"/>
      <c r="I16" s="1"/>
    </row>
    <row r="17" spans="1:9" x14ac:dyDescent="0.25">
      <c r="A17" s="1"/>
      <c r="B17" s="1"/>
      <c r="C17" s="6" t="s">
        <v>6</v>
      </c>
      <c r="D17" s="80" t="s">
        <v>98</v>
      </c>
      <c r="E17" s="81"/>
      <c r="F17" s="81"/>
      <c r="G17" s="82"/>
      <c r="H17" s="1"/>
      <c r="I17" s="1"/>
    </row>
    <row r="18" spans="1:9" x14ac:dyDescent="0.25">
      <c r="A18" s="1"/>
      <c r="B18" s="1"/>
      <c r="C18" s="6" t="s">
        <v>7</v>
      </c>
      <c r="D18" s="80" t="s">
        <v>99</v>
      </c>
      <c r="E18" s="81"/>
      <c r="F18" s="81"/>
      <c r="G18" s="82"/>
      <c r="H18" s="1"/>
      <c r="I18" s="1"/>
    </row>
    <row r="19" spans="1:9" x14ac:dyDescent="0.25">
      <c r="A19" s="1"/>
      <c r="B19" s="1"/>
      <c r="C19" s="6" t="s">
        <v>8</v>
      </c>
      <c r="D19" s="86" t="s">
        <v>103</v>
      </c>
      <c r="E19" s="87"/>
      <c r="F19" s="87"/>
      <c r="G19" s="88"/>
      <c r="H19" s="1"/>
      <c r="I19" s="1"/>
    </row>
    <row r="20" spans="1:9" x14ac:dyDescent="0.25">
      <c r="A20" s="1"/>
      <c r="B20" s="1"/>
      <c r="C20" s="6" t="s">
        <v>9</v>
      </c>
      <c r="D20" s="75" t="s">
        <v>100</v>
      </c>
      <c r="E20" s="76"/>
      <c r="F20" s="76"/>
      <c r="G20" s="77"/>
      <c r="H20" s="1"/>
      <c r="I20" s="1"/>
    </row>
    <row r="21" spans="1:9" x14ac:dyDescent="0.25">
      <c r="A21" s="1"/>
      <c r="B21" s="1"/>
      <c r="C21" s="6" t="s">
        <v>10</v>
      </c>
      <c r="D21" s="75" t="s">
        <v>122</v>
      </c>
      <c r="E21" s="76"/>
      <c r="F21" s="76"/>
      <c r="G21" s="77"/>
      <c r="H21" s="1"/>
      <c r="I21" s="1"/>
    </row>
    <row r="22" spans="1:9" x14ac:dyDescent="0.25">
      <c r="A22" s="1"/>
      <c r="B22" s="1"/>
      <c r="C22" s="6" t="s">
        <v>11</v>
      </c>
      <c r="D22" s="75" t="s">
        <v>104</v>
      </c>
      <c r="E22" s="76"/>
      <c r="F22" s="76"/>
      <c r="G22" s="77"/>
      <c r="H22" s="1"/>
      <c r="I22" s="1"/>
    </row>
    <row r="23" spans="1:9" x14ac:dyDescent="0.25">
      <c r="A23" s="1"/>
      <c r="B23" s="1"/>
      <c r="C23" s="6" t="s">
        <v>12</v>
      </c>
      <c r="D23" s="89" t="s">
        <v>28</v>
      </c>
      <c r="E23" s="90"/>
      <c r="F23" s="90"/>
      <c r="G23" s="91"/>
      <c r="H23" s="1"/>
      <c r="I23" s="1"/>
    </row>
    <row r="24" spans="1:9" x14ac:dyDescent="0.25">
      <c r="A24" s="1"/>
      <c r="B24" s="1"/>
      <c r="C24" s="6" t="s">
        <v>26</v>
      </c>
      <c r="D24" s="83" t="s">
        <v>101</v>
      </c>
      <c r="E24" s="84"/>
      <c r="F24" s="84"/>
      <c r="G24" s="85"/>
      <c r="H24" s="1"/>
      <c r="I24" s="1"/>
    </row>
    <row r="25" spans="1:9" x14ac:dyDescent="0.25">
      <c r="A25" s="1"/>
      <c r="B25" s="1"/>
      <c r="C25" s="6" t="s">
        <v>29</v>
      </c>
      <c r="D25" s="83" t="s">
        <v>54</v>
      </c>
      <c r="E25" s="84"/>
      <c r="F25" s="84"/>
      <c r="G25" s="85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24:G24"/>
    <mergeCell ref="D25:G25"/>
    <mergeCell ref="D19:G19"/>
    <mergeCell ref="D21:G21"/>
    <mergeCell ref="D22:G22"/>
    <mergeCell ref="D23:G23"/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7" t="s">
        <v>126</v>
      </c>
      <c r="C3" s="97"/>
      <c r="D3" s="97"/>
      <c r="E3" s="97"/>
      <c r="F3" s="97"/>
      <c r="G3" s="97"/>
      <c r="H3" s="97"/>
      <c r="I3" s="1"/>
    </row>
    <row r="4" spans="1:9" ht="15" customHeight="1" x14ac:dyDescent="0.25">
      <c r="A4" s="1"/>
      <c r="B4" s="97"/>
      <c r="C4" s="97"/>
      <c r="D4" s="97"/>
      <c r="E4" s="97"/>
      <c r="F4" s="97"/>
      <c r="G4" s="97"/>
      <c r="H4" s="9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116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101" t="s">
        <v>105</v>
      </c>
      <c r="C9" s="102"/>
      <c r="D9" s="103"/>
      <c r="E9" s="11">
        <v>63967670.258435942</v>
      </c>
      <c r="F9" s="22" t="s">
        <v>2</v>
      </c>
      <c r="G9" s="19"/>
      <c r="H9" s="27"/>
      <c r="I9" s="1"/>
    </row>
    <row r="10" spans="1:9" x14ac:dyDescent="0.25">
      <c r="A10" s="1"/>
      <c r="B10" s="101" t="s">
        <v>106</v>
      </c>
      <c r="C10" s="102"/>
      <c r="D10" s="103"/>
      <c r="E10" s="11">
        <v>58597693</v>
      </c>
      <c r="F10" s="22" t="s">
        <v>2</v>
      </c>
      <c r="G10" s="14"/>
      <c r="H10" s="28"/>
      <c r="I10" s="1"/>
    </row>
    <row r="11" spans="1:9" x14ac:dyDescent="0.25">
      <c r="A11" s="1"/>
      <c r="B11" s="101" t="s">
        <v>112</v>
      </c>
      <c r="C11" s="102"/>
      <c r="D11" s="103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107</v>
      </c>
      <c r="C12" s="48"/>
      <c r="D12" s="49"/>
      <c r="E12" s="17">
        <f>E9-(E10-E11)</f>
        <v>5369977.2584359422</v>
      </c>
      <c r="F12" s="25" t="s">
        <v>2</v>
      </c>
      <c r="G12" s="17">
        <f>E12</f>
        <v>5369977.2584359422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4" t="s">
        <v>117</v>
      </c>
      <c r="C17" s="95"/>
      <c r="D17" s="95"/>
      <c r="E17" s="95"/>
      <c r="F17" s="95"/>
      <c r="G17" s="95"/>
      <c r="H17" s="96"/>
      <c r="I17" s="1"/>
    </row>
    <row r="18" spans="1:9" x14ac:dyDescent="0.25">
      <c r="A18" s="1"/>
      <c r="B18" s="104" t="s">
        <v>118</v>
      </c>
      <c r="C18" s="105"/>
      <c r="D18" s="106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104" t="s">
        <v>113</v>
      </c>
      <c r="C19" s="105"/>
      <c r="D19" s="106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104" t="s">
        <v>119</v>
      </c>
      <c r="C20" s="105"/>
      <c r="D20" s="106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94" t="s">
        <v>114</v>
      </c>
      <c r="C21" s="95"/>
      <c r="D21" s="95"/>
      <c r="E21" s="95"/>
      <c r="F21" s="96"/>
      <c r="G21" s="20">
        <f>E20</f>
        <v>0</v>
      </c>
      <c r="H21" s="21" t="s">
        <v>2</v>
      </c>
      <c r="I21" s="1"/>
    </row>
    <row r="22" spans="1:9" x14ac:dyDescent="0.25">
      <c r="A22" s="1"/>
      <c r="B22" s="94" t="s">
        <v>115</v>
      </c>
      <c r="C22" s="95"/>
      <c r="D22" s="95"/>
      <c r="E22" s="95"/>
      <c r="F22" s="96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18:D18"/>
    <mergeCell ref="B19:D19"/>
    <mergeCell ref="B20:D20"/>
    <mergeCell ref="B21:F21"/>
    <mergeCell ref="B22:F22"/>
    <mergeCell ref="B3:H4"/>
    <mergeCell ref="B8:H8"/>
    <mergeCell ref="B17:H17"/>
    <mergeCell ref="B9:D9"/>
    <mergeCell ref="B10:D10"/>
    <mergeCell ref="B11:D11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2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130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127</v>
      </c>
      <c r="C8" s="95"/>
      <c r="D8" s="95"/>
      <c r="E8" s="95"/>
      <c r="F8" s="95"/>
      <c r="G8" s="95"/>
      <c r="H8" s="96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ht="26.25" x14ac:dyDescent="0.25">
      <c r="A10" s="1"/>
      <c r="B10" s="65" t="s">
        <v>143</v>
      </c>
      <c r="C10" s="66">
        <v>60</v>
      </c>
      <c r="D10" s="11">
        <v>1200254</v>
      </c>
      <c r="E10" s="11">
        <f>D10/C10</f>
        <v>20004.233333333334</v>
      </c>
      <c r="F10" s="11">
        <v>0</v>
      </c>
      <c r="G10" s="11">
        <v>0</v>
      </c>
      <c r="H10" s="22" t="s">
        <v>2</v>
      </c>
      <c r="I10" s="1"/>
    </row>
    <row r="11" spans="1:9" x14ac:dyDescent="0.25">
      <c r="A11" s="1"/>
      <c r="B11" s="65" t="s">
        <v>144</v>
      </c>
      <c r="C11" s="66">
        <v>20</v>
      </c>
      <c r="D11" s="11">
        <v>400085</v>
      </c>
      <c r="E11" s="11">
        <f t="shared" ref="E11:E15" si="0">D11/C11</f>
        <v>20004.25</v>
      </c>
      <c r="F11" s="11">
        <v>0</v>
      </c>
      <c r="G11" s="11">
        <v>0</v>
      </c>
      <c r="H11" s="22" t="s">
        <v>2</v>
      </c>
      <c r="I11" s="1"/>
    </row>
    <row r="12" spans="1:9" x14ac:dyDescent="0.25">
      <c r="A12" s="1"/>
      <c r="B12" s="65" t="s">
        <v>145</v>
      </c>
      <c r="C12" s="66">
        <v>10</v>
      </c>
      <c r="D12" s="11">
        <v>400085</v>
      </c>
      <c r="E12" s="11">
        <f t="shared" si="0"/>
        <v>40008.5</v>
      </c>
      <c r="F12" s="11">
        <v>0</v>
      </c>
      <c r="G12" s="11">
        <v>0</v>
      </c>
      <c r="H12" s="22" t="s">
        <v>2</v>
      </c>
      <c r="I12" s="1"/>
    </row>
    <row r="13" spans="1:9" ht="26.25" x14ac:dyDescent="0.25">
      <c r="A13" s="1"/>
      <c r="B13" s="65" t="s">
        <v>146</v>
      </c>
      <c r="C13" s="66">
        <v>75</v>
      </c>
      <c r="D13" s="11">
        <v>978110</v>
      </c>
      <c r="E13" s="11">
        <f t="shared" si="0"/>
        <v>13041.466666666667</v>
      </c>
      <c r="F13" s="11">
        <v>0</v>
      </c>
      <c r="G13" s="11">
        <v>0</v>
      </c>
      <c r="H13" s="22" t="s">
        <v>2</v>
      </c>
      <c r="I13" s="1"/>
    </row>
    <row r="14" spans="1:9" ht="26.25" x14ac:dyDescent="0.25">
      <c r="A14" s="1"/>
      <c r="B14" s="65" t="s">
        <v>147</v>
      </c>
      <c r="C14" s="66">
        <v>50</v>
      </c>
      <c r="D14" s="11">
        <v>489056</v>
      </c>
      <c r="E14" s="11">
        <f t="shared" si="0"/>
        <v>9781.1200000000008</v>
      </c>
      <c r="F14" s="11">
        <v>0</v>
      </c>
      <c r="G14" s="11">
        <v>0</v>
      </c>
      <c r="H14" s="22" t="s">
        <v>2</v>
      </c>
      <c r="I14" s="1"/>
    </row>
    <row r="15" spans="1:9" ht="26.25" x14ac:dyDescent="0.25">
      <c r="A15" s="1"/>
      <c r="B15" s="65" t="s">
        <v>148</v>
      </c>
      <c r="C15" s="66">
        <v>20</v>
      </c>
      <c r="D15" s="11">
        <v>489056</v>
      </c>
      <c r="E15" s="11">
        <f t="shared" si="0"/>
        <v>24452.799999999999</v>
      </c>
      <c r="F15" s="11">
        <v>0</v>
      </c>
      <c r="G15" s="11">
        <v>0</v>
      </c>
      <c r="H15" s="22" t="s">
        <v>2</v>
      </c>
      <c r="I15" s="1"/>
    </row>
    <row r="16" spans="1:9" ht="26.25" x14ac:dyDescent="0.25">
      <c r="A16" s="1"/>
      <c r="B16" s="65" t="s">
        <v>146</v>
      </c>
      <c r="C16" s="66">
        <v>75</v>
      </c>
      <c r="D16" s="11">
        <v>1127354</v>
      </c>
      <c r="E16" s="11">
        <f t="shared" ref="E16" si="1">D16/C16</f>
        <v>15031.386666666667</v>
      </c>
      <c r="F16" s="11">
        <v>0</v>
      </c>
      <c r="G16" s="11">
        <v>0</v>
      </c>
      <c r="H16" s="22" t="s">
        <v>2</v>
      </c>
      <c r="I16" s="1"/>
    </row>
    <row r="17" spans="1:9" x14ac:dyDescent="0.25">
      <c r="A17" s="1"/>
      <c r="B17" s="94" t="s">
        <v>131</v>
      </c>
      <c r="C17" s="95"/>
      <c r="D17" s="96"/>
      <c r="E17" s="20">
        <f>SUM(E10:E16)</f>
        <v>142323.75666666668</v>
      </c>
      <c r="F17" s="20">
        <f>SUM(F10:F16)</f>
        <v>0</v>
      </c>
      <c r="G17" s="20">
        <f>SUM(G10:G16)</f>
        <v>0</v>
      </c>
      <c r="H17" s="21" t="s">
        <v>2</v>
      </c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</sheetData>
  <sheetProtection password="DFE9" sheet="1" objects="1" scenarios="1"/>
  <mergeCells count="3">
    <mergeCell ref="B3:H4"/>
    <mergeCell ref="B8:H8"/>
    <mergeCell ref="B17:D17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121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127</v>
      </c>
      <c r="C10" s="59"/>
      <c r="D10" s="60">
        <f>'Fane 8. Anlægsprojekter'!F17</f>
        <v>0</v>
      </c>
      <c r="E10" s="22" t="s">
        <v>2</v>
      </c>
      <c r="F10" s="11">
        <f>SUM('Fane 8. Anlægsprojekter'!E17,'Fane 8. Anlægsprojekter'!G17)</f>
        <v>142323.75666666668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142323.75666666668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144729.02815433333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7" t="s">
        <v>149</v>
      </c>
      <c r="C3" s="97"/>
      <c r="D3" s="97"/>
      <c r="E3" s="97"/>
      <c r="F3" s="97"/>
      <c r="G3" s="97"/>
      <c r="H3" s="1"/>
    </row>
    <row r="4" spans="1:8" ht="25.5" customHeight="1" x14ac:dyDescent="0.25">
      <c r="A4" s="1"/>
      <c r="B4" s="97"/>
      <c r="C4" s="97"/>
      <c r="D4" s="97"/>
      <c r="E4" s="97"/>
      <c r="F4" s="97"/>
      <c r="G4" s="9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134</v>
      </c>
      <c r="C10" s="67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7" t="s">
        <v>150</v>
      </c>
      <c r="C3" s="97"/>
      <c r="D3" s="97"/>
      <c r="E3" s="97"/>
      <c r="F3" s="97"/>
      <c r="G3" s="1"/>
      <c r="H3" s="1"/>
    </row>
    <row r="4" spans="1:8" ht="25.5" customHeight="1" x14ac:dyDescent="0.25">
      <c r="A4" s="1"/>
      <c r="B4" s="97"/>
      <c r="C4" s="97"/>
      <c r="D4" s="97"/>
      <c r="E4" s="97"/>
      <c r="F4" s="97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6.1815795480781141E-4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92" t="s">
        <v>41</v>
      </c>
      <c r="C3" s="92"/>
      <c r="D3" s="92"/>
      <c r="E3" s="92"/>
      <c r="F3" s="92"/>
      <c r="G3" s="1"/>
      <c r="I3" s="36"/>
    </row>
    <row r="4" spans="1:9" ht="15" customHeight="1" x14ac:dyDescent="0.25">
      <c r="A4" s="1"/>
      <c r="B4" s="92"/>
      <c r="C4" s="92"/>
      <c r="D4" s="92"/>
      <c r="E4" s="92"/>
      <c r="F4" s="92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64226889.74289009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Tillæg'!F12</f>
        <v>144729.02815433333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6" t="s">
        <v>37</v>
      </c>
      <c r="C14" s="11">
        <f>C9*Prisudvikling2018+SUM(C10:C13)*Prisudvikling2019</f>
        <v>1126416.4910763849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-40488.131521562515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6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-429313.44180061936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62</v>
      </c>
      <c r="C17" s="11">
        <f>-(('Fane 5. Generelt eff. krav'!G12-'Fane 5. Generelt eff. krav'!G11)*(1+Prisudvikling2018)*GenereltKravAnlæg2018+SUM(C11,C13)*(1+Prisudvikling2019)*GenereltKravAnlæg2019)</f>
        <v>-790076.03125027905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7" t="s">
        <v>40</v>
      </c>
      <c r="C18" s="17">
        <f>SUM(C9:C17)</f>
        <v>64238157.657548361</v>
      </c>
      <c r="D18" s="18" t="s">
        <v>2</v>
      </c>
      <c r="E18" s="17">
        <f>C18</f>
        <v>64238157.657548361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133</v>
      </c>
      <c r="C20" s="11">
        <v>1261725.4375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-(C20*(GenereltKravDrift2018+IndividueltKrav))</f>
        <v>-26014.45436597399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1235710.9831340259</v>
      </c>
      <c r="D22" s="18" t="s">
        <v>2</v>
      </c>
      <c r="E22" s="17">
        <f>C22</f>
        <v>1235710.9831340259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22</v>
      </c>
      <c r="C24" s="11">
        <f>'Fane 4. Ikke-påvirkelige omk.'!E18</f>
        <v>4225668.8231630195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46" t="s">
        <v>142</v>
      </c>
      <c r="C26" s="11">
        <v>5307</v>
      </c>
      <c r="D26" s="8" t="s">
        <v>2</v>
      </c>
      <c r="E26" s="12"/>
      <c r="F26" s="13"/>
      <c r="G26" s="1"/>
    </row>
    <row r="27" spans="1:7" ht="15" customHeight="1" x14ac:dyDescent="0.25">
      <c r="A27" s="1"/>
      <c r="B27" s="29" t="s">
        <v>80</v>
      </c>
      <c r="C27" s="17">
        <f>SUM(C24:C26)</f>
        <v>4230975.8231630195</v>
      </c>
      <c r="D27" s="18" t="s">
        <v>2</v>
      </c>
      <c r="E27" s="17">
        <f>C27</f>
        <v>4230975.8231630195</v>
      </c>
      <c r="F27" s="18" t="s">
        <v>2</v>
      </c>
      <c r="G27" s="1"/>
    </row>
    <row r="28" spans="1:7" ht="15" customHeight="1" x14ac:dyDescent="0.25">
      <c r="A28" s="1"/>
      <c r="B28" s="39" t="s">
        <v>50</v>
      </c>
      <c r="C28" s="40"/>
      <c r="D28" s="40"/>
      <c r="E28" s="40"/>
      <c r="F28" s="41"/>
      <c r="G28" s="1"/>
    </row>
    <row r="29" spans="1:7" ht="15" customHeight="1" x14ac:dyDescent="0.25">
      <c r="A29" s="1"/>
      <c r="B29" s="45" t="s">
        <v>81</v>
      </c>
      <c r="C29" s="7">
        <v>67877.402334792525</v>
      </c>
      <c r="D29" s="8" t="s">
        <v>2</v>
      </c>
      <c r="E29" s="33"/>
      <c r="F29" s="13"/>
      <c r="G29" s="1"/>
    </row>
    <row r="30" spans="1:7" ht="15" customHeight="1" x14ac:dyDescent="0.25">
      <c r="A30" s="1"/>
      <c r="B30" s="45" t="s">
        <v>51</v>
      </c>
      <c r="C30" s="7">
        <v>-315396</v>
      </c>
      <c r="D30" s="8" t="s">
        <v>2</v>
      </c>
      <c r="E30" s="32"/>
      <c r="F30" s="13"/>
      <c r="G30" s="1"/>
    </row>
    <row r="31" spans="1:7" ht="28.5" customHeight="1" x14ac:dyDescent="0.25">
      <c r="A31" s="1"/>
      <c r="B31" s="46" t="s">
        <v>52</v>
      </c>
      <c r="C31" s="7">
        <v>23993.065386877537</v>
      </c>
      <c r="D31" s="8" t="s">
        <v>2</v>
      </c>
      <c r="E31" s="32"/>
      <c r="F31" s="13"/>
      <c r="G31" s="1"/>
    </row>
    <row r="32" spans="1:7" ht="15" customHeight="1" x14ac:dyDescent="0.25">
      <c r="A32" s="1"/>
      <c r="B32" s="47" t="s">
        <v>53</v>
      </c>
      <c r="C32" s="17">
        <f>SUM(C29:C31)</f>
        <v>-223525.53227832992</v>
      </c>
      <c r="D32" s="18" t="s">
        <v>2</v>
      </c>
      <c r="E32" s="17">
        <f>C32</f>
        <v>-223525.53227832992</v>
      </c>
      <c r="F32" s="18" t="s">
        <v>2</v>
      </c>
      <c r="G32" s="1"/>
    </row>
    <row r="33" spans="1:7" x14ac:dyDescent="0.25">
      <c r="A33" s="1"/>
      <c r="B33" s="39" t="s">
        <v>15</v>
      </c>
      <c r="C33" s="40"/>
      <c r="D33" s="40"/>
      <c r="E33" s="40"/>
      <c r="F33" s="41"/>
      <c r="G33" s="1"/>
    </row>
    <row r="34" spans="1:7" ht="15" customHeight="1" x14ac:dyDescent="0.25">
      <c r="A34" s="1"/>
      <c r="B34" s="47" t="s">
        <v>24</v>
      </c>
      <c r="C34" s="17">
        <f>'Fane 6. Hist. over el. underdæk'!G13</f>
        <v>-630394</v>
      </c>
      <c r="D34" s="18" t="s">
        <v>2</v>
      </c>
      <c r="E34" s="17">
        <f>C34</f>
        <v>-630394</v>
      </c>
      <c r="F34" s="18" t="s">
        <v>2</v>
      </c>
      <c r="G34" s="1"/>
    </row>
    <row r="35" spans="1:7" ht="15" customHeight="1" x14ac:dyDescent="0.25">
      <c r="A35" s="1"/>
      <c r="B35" s="39" t="s">
        <v>151</v>
      </c>
      <c r="C35" s="40"/>
      <c r="D35" s="40"/>
      <c r="E35" s="40"/>
      <c r="F35" s="41"/>
      <c r="G35" s="1"/>
    </row>
    <row r="36" spans="1:7" ht="15" customHeight="1" x14ac:dyDescent="0.25">
      <c r="A36" s="1"/>
      <c r="B36" s="29" t="s">
        <v>151</v>
      </c>
      <c r="C36" s="17">
        <f>263520*1.0169*1.0169*1.0175*1.0127</f>
        <v>280792.37121643365</v>
      </c>
      <c r="D36" s="18" t="s">
        <v>2</v>
      </c>
      <c r="E36" s="17">
        <f>C36</f>
        <v>280792.37121643365</v>
      </c>
      <c r="F36" s="18" t="s">
        <v>2</v>
      </c>
      <c r="G36" s="1"/>
    </row>
    <row r="37" spans="1:7" x14ac:dyDescent="0.25">
      <c r="A37" s="1"/>
      <c r="B37" s="39" t="s">
        <v>33</v>
      </c>
      <c r="C37" s="40"/>
      <c r="D37" s="41"/>
      <c r="E37" s="20">
        <f>SUM(E18,E22,E27,E32,E34,E36)</f>
        <v>69131717.302783504</v>
      </c>
      <c r="F37" s="21" t="s">
        <v>2</v>
      </c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42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3" t="s">
        <v>43</v>
      </c>
      <c r="C5" s="93"/>
      <c r="D5" s="93"/>
      <c r="E5" s="93"/>
      <c r="F5" s="9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25</v>
      </c>
      <c r="C8" s="95"/>
      <c r="D8" s="95"/>
      <c r="E8" s="95"/>
      <c r="F8" s="96"/>
      <c r="G8" s="1"/>
    </row>
    <row r="9" spans="1:7" ht="15" customHeight="1" x14ac:dyDescent="0.25">
      <c r="A9" s="1"/>
      <c r="B9" s="45" t="s">
        <v>55</v>
      </c>
      <c r="C9" s="7">
        <f>'Fane 2.1. Økonomisk ramme 2019'!E18</f>
        <v>64238157.657548361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SUM(C9:C9)*Prisudvikling2019</f>
        <v>1085624.8644125671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-40380.415804085627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('Fane 2.1. Økonomisk ramme 2019'!C16/GenereltKravDrift2018-'Fane 2.1. Økonomisk ramme 2019'!C16)*(1+Prisudvikling2019)*GenereltKravDrift2019</f>
        <v>-427837.46218770876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6" t="s">
        <v>62</v>
      </c>
      <c r="C13" s="11">
        <f>(('Fane 2.1. Økonomisk ramme 2019'!C17/GenereltKravAnlæg2018-'Fane 2.1. Økonomisk ramme 2019'!C17)*(1+Prisudvikling2019)*GenereltKravAnlæg2019)</f>
        <v>-387915.61719456734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7" t="s">
        <v>40</v>
      </c>
      <c r="C14" s="17">
        <f>SUM(C9:C13)</f>
        <v>64467649.026774563</v>
      </c>
      <c r="D14" s="18" t="s">
        <v>2</v>
      </c>
      <c r="E14" s="17">
        <f>C14</f>
        <v>64467649.026774563</v>
      </c>
      <c r="F14" s="18" t="s">
        <v>2</v>
      </c>
      <c r="G14" s="1"/>
    </row>
    <row r="15" spans="1:7" ht="15" customHeight="1" x14ac:dyDescent="0.25">
      <c r="A15" s="1"/>
      <c r="B15" s="94" t="s">
        <v>74</v>
      </c>
      <c r="C15" s="95"/>
      <c r="D15" s="95"/>
      <c r="E15" s="95"/>
      <c r="F15" s="96"/>
      <c r="G15" s="1"/>
    </row>
    <row r="16" spans="1:7" ht="15" customHeight="1" x14ac:dyDescent="0.25">
      <c r="A16" s="1"/>
      <c r="B16" s="46" t="s">
        <v>133</v>
      </c>
      <c r="C16" s="11">
        <v>1282292.5178571048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-26438.509677446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1255854.0081796588</v>
      </c>
      <c r="D18" s="18" t="s">
        <v>2</v>
      </c>
      <c r="E18" s="17">
        <f>C18</f>
        <v>1255854.0081796588</v>
      </c>
      <c r="F18" s="18" t="s">
        <v>2</v>
      </c>
      <c r="G18" s="1"/>
    </row>
    <row r="19" spans="1:7" x14ac:dyDescent="0.25">
      <c r="A19" s="1"/>
      <c r="B19" s="94" t="s">
        <v>22</v>
      </c>
      <c r="C19" s="95"/>
      <c r="D19" s="95"/>
      <c r="E19" s="95"/>
      <c r="F19" s="96"/>
      <c r="G19" s="1"/>
    </row>
    <row r="20" spans="1:7" ht="15" customHeight="1" x14ac:dyDescent="0.25">
      <c r="A20" s="1"/>
      <c r="B20" s="46" t="s">
        <v>22</v>
      </c>
      <c r="C20" s="11">
        <f>'Fane 4. Ikke-påvirkelige omk.'!E18*(1+Prisudvikling2019)</f>
        <v>4297082.626274474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46" t="s">
        <v>142</v>
      </c>
      <c r="C22" s="11">
        <v>5386</v>
      </c>
      <c r="D22" s="8" t="s">
        <v>2</v>
      </c>
      <c r="E22" s="14"/>
      <c r="F22" s="13"/>
      <c r="G22" s="1"/>
    </row>
    <row r="23" spans="1:7" ht="15" customHeight="1" x14ac:dyDescent="0.25">
      <c r="A23" s="1"/>
      <c r="B23" s="29" t="s">
        <v>80</v>
      </c>
      <c r="C23" s="17">
        <f>SUM(C20:C22)</f>
        <v>4302468.626274474</v>
      </c>
      <c r="D23" s="18" t="s">
        <v>2</v>
      </c>
      <c r="E23" s="17">
        <f>C23</f>
        <v>4302468.626274474</v>
      </c>
      <c r="F23" s="18" t="s">
        <v>2</v>
      </c>
      <c r="G23" s="1"/>
    </row>
    <row r="24" spans="1:7" x14ac:dyDescent="0.25">
      <c r="A24" s="1"/>
      <c r="B24" s="94" t="s">
        <v>15</v>
      </c>
      <c r="C24" s="95"/>
      <c r="D24" s="95"/>
      <c r="E24" s="95"/>
      <c r="F24" s="96"/>
      <c r="G24" s="1"/>
    </row>
    <row r="25" spans="1:7" ht="15" customHeight="1" x14ac:dyDescent="0.25">
      <c r="A25" s="1"/>
      <c r="B25" s="29" t="s">
        <v>24</v>
      </c>
      <c r="C25" s="17">
        <f>IF('Fane 6. Hist. over el. underdæk'!G12&gt;1,'Fane 6. Hist. over el. underdæk'!G13,0)</f>
        <v>-630394</v>
      </c>
      <c r="D25" s="18" t="s">
        <v>2</v>
      </c>
      <c r="E25" s="17">
        <f>C25</f>
        <v>-630394</v>
      </c>
      <c r="F25" s="18" t="s">
        <v>2</v>
      </c>
      <c r="G25" s="1"/>
    </row>
    <row r="26" spans="1:7" x14ac:dyDescent="0.25">
      <c r="A26" s="1"/>
      <c r="B26" s="94" t="s">
        <v>116</v>
      </c>
      <c r="C26" s="95"/>
      <c r="D26" s="95"/>
      <c r="E26" s="95"/>
      <c r="F26" s="96"/>
      <c r="G26" s="1"/>
    </row>
    <row r="27" spans="1:7" ht="15" customHeight="1" x14ac:dyDescent="0.25">
      <c r="A27" s="1"/>
      <c r="B27" s="29" t="s">
        <v>108</v>
      </c>
      <c r="C27" s="17">
        <f>'Fane 7. Kontrol af ØR2017'!G22</f>
        <v>0</v>
      </c>
      <c r="D27" s="18" t="s">
        <v>2</v>
      </c>
      <c r="E27" s="17">
        <f>C27</f>
        <v>0</v>
      </c>
      <c r="F27" s="18" t="s">
        <v>2</v>
      </c>
      <c r="G27" s="1"/>
    </row>
    <row r="28" spans="1:7" x14ac:dyDescent="0.25">
      <c r="A28" s="1"/>
      <c r="B28" s="39" t="s">
        <v>56</v>
      </c>
      <c r="C28" s="40"/>
      <c r="D28" s="41"/>
      <c r="E28" s="20">
        <f>SUM(E14,E18,E23,E25,E27)</f>
        <v>69395577.661228687</v>
      </c>
      <c r="F28" s="21" t="s">
        <v>2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password="DFE9" sheet="1" objects="1" scenarios="1"/>
  <mergeCells count="7">
    <mergeCell ref="B3:F4"/>
    <mergeCell ref="B5:F5"/>
    <mergeCell ref="B26:F26"/>
    <mergeCell ref="B24:F24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91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3" t="s">
        <v>43</v>
      </c>
      <c r="C5" s="93"/>
      <c r="D5" s="93"/>
      <c r="E5" s="93"/>
      <c r="F5" s="9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5" t="s">
        <v>57</v>
      </c>
      <c r="C9" s="7">
        <f>'Fane 2.2. Økonomisk ramme 2020'!E14</f>
        <v>64467649.026774563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C9*Prisudvikling2019</f>
        <v>1089503.26855249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-40524.675185903587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(('Fane 2.2. Økonomisk ramme 2020'!C12/GenereltKravDrift2019-'Fane 2.2. Økonomisk ramme 2020'!C12)*(1+Prisudvikling2019)*GenereltKravDrift2019)</f>
        <v>-426366.55699270742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6" t="s">
        <v>62</v>
      </c>
      <c r="C13" s="11">
        <f>(('Fane 2.2. Økonomisk ramme 2020'!C13/GenereltKravAnlæg2019-'Fane 2.2. Økonomisk ramme 2020'!C13)*(1+Prisudvikling2019)*GenereltKravAnlæg2019)</f>
        <v>-391039.49002236658</v>
      </c>
      <c r="D13" s="8" t="s">
        <v>2</v>
      </c>
      <c r="E13" s="15"/>
      <c r="F13" s="16"/>
      <c r="G13" s="1"/>
    </row>
    <row r="14" spans="1:7" x14ac:dyDescent="0.25">
      <c r="A14" s="1"/>
      <c r="B14" s="47" t="s">
        <v>40</v>
      </c>
      <c r="C14" s="17">
        <f>SUM(C9:C13)</f>
        <v>64699221.57312607</v>
      </c>
      <c r="D14" s="18" t="s">
        <v>2</v>
      </c>
      <c r="E14" s="17">
        <f>C14</f>
        <v>64699221.57312607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6" t="s">
        <v>133</v>
      </c>
      <c r="C16" s="11">
        <v>840439.55104505096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-17328.315414914621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823111.23563013633</v>
      </c>
      <c r="D18" s="18" t="s">
        <v>2</v>
      </c>
      <c r="E18" s="17">
        <f>C18</f>
        <v>823111.23563013633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22</v>
      </c>
      <c r="C20" s="11">
        <f>'Fane 4. Ikke-påvirkelige omk.'!E18*(1+Prisudvikling2019)^2</f>
        <v>4369703.3226585118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46" t="s">
        <v>142</v>
      </c>
      <c r="C22" s="11">
        <v>5467</v>
      </c>
      <c r="D22" s="8" t="s">
        <v>2</v>
      </c>
      <c r="E22" s="14"/>
      <c r="F22" s="13"/>
      <c r="G22" s="1"/>
    </row>
    <row r="23" spans="1:7" ht="15" customHeight="1" x14ac:dyDescent="0.25">
      <c r="A23" s="1"/>
      <c r="B23" s="29" t="s">
        <v>80</v>
      </c>
      <c r="C23" s="17">
        <f>SUM(C20:C22)</f>
        <v>4375170.3226585118</v>
      </c>
      <c r="D23" s="18" t="s">
        <v>2</v>
      </c>
      <c r="E23" s="17">
        <f>C23</f>
        <v>4375170.3226585118</v>
      </c>
      <c r="F23" s="18" t="s">
        <v>2</v>
      </c>
      <c r="G23" s="1"/>
    </row>
    <row r="24" spans="1:7" ht="15" customHeight="1" x14ac:dyDescent="0.25">
      <c r="A24" s="1"/>
      <c r="B24" s="39" t="s">
        <v>116</v>
      </c>
      <c r="C24" s="40"/>
      <c r="D24" s="40"/>
      <c r="E24" s="40"/>
      <c r="F24" s="41"/>
      <c r="G24" s="1"/>
    </row>
    <row r="25" spans="1:7" ht="15" customHeight="1" x14ac:dyDescent="0.25">
      <c r="A25" s="1"/>
      <c r="B25" s="29" t="s">
        <v>108</v>
      </c>
      <c r="C25" s="17">
        <f>'Fane 2.2. Økonomisk ramme 2020'!C27*(1+Prisudvikling2019)</f>
        <v>0</v>
      </c>
      <c r="D25" s="18" t="s">
        <v>2</v>
      </c>
      <c r="E25" s="17">
        <f>C25</f>
        <v>0</v>
      </c>
      <c r="F25" s="18" t="s">
        <v>2</v>
      </c>
      <c r="G25" s="1"/>
    </row>
    <row r="26" spans="1:7" x14ac:dyDescent="0.25">
      <c r="A26" s="1"/>
      <c r="B26" s="39" t="s">
        <v>68</v>
      </c>
      <c r="C26" s="40"/>
      <c r="D26" s="41"/>
      <c r="E26" s="20">
        <f>SUM(E14,E18,E23,E25)</f>
        <v>69897503.131414726</v>
      </c>
      <c r="F26" s="21" t="s">
        <v>2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92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3" t="s">
        <v>43</v>
      </c>
      <c r="C5" s="93"/>
      <c r="D5" s="93"/>
      <c r="E5" s="93"/>
      <c r="F5" s="9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2021'!E14</f>
        <v>64699221.57312607</v>
      </c>
      <c r="D8" s="8" t="s">
        <v>2</v>
      </c>
      <c r="E8" s="9"/>
      <c r="F8" s="10"/>
      <c r="G8" s="1"/>
    </row>
    <row r="9" spans="1:7" ht="15" customHeight="1" x14ac:dyDescent="0.25">
      <c r="A9" s="1"/>
      <c r="B9" s="46" t="s">
        <v>37</v>
      </c>
      <c r="C9" s="11">
        <f>C8*Prisudvikling2019</f>
        <v>1093416.8445858306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6" t="s">
        <v>13</v>
      </c>
      <c r="C10" s="11">
        <f>-SUM(C8:C9)*IndividueltKrav</f>
        <v>-40670.242805702626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61</v>
      </c>
      <c r="C11" s="11">
        <f>('Fane 2.3. Økonomisk ramme 2021'!C12/GenereltKravDrift2019-'Fane 2.3. Økonomisk ramme 2021'!C12)*(1+Prisudvikling2019)*GenereltKravDrift2019</f>
        <v>-424900.7087697665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2021'!C13/GenereltKravAnlæg2019-'Fane 2.3. Økonomisk ramme 2021'!C13)*(1+Prisudvikling2019)*GenereltKravAnlæg2019</f>
        <v>-394188.51930433197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64932878.946832091</v>
      </c>
      <c r="D13" s="18" t="s">
        <v>2</v>
      </c>
      <c r="E13" s="17">
        <f>C13</f>
        <v>64932878.946832091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6" t="s">
        <v>133</v>
      </c>
      <c r="C15" s="11">
        <v>700381.94019626384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76</v>
      </c>
      <c r="C16" s="11">
        <f>-(C15*(GenereltKravDrift2019+IndividueltKrav))</f>
        <v>-14440.585471661325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685941.35472460254</v>
      </c>
      <c r="D17" s="18" t="s">
        <v>2</v>
      </c>
      <c r="E17" s="17">
        <f>C17</f>
        <v>685941.35472460254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omk.'!E18*(1+Prisudvikling2019)^3</f>
        <v>4443551.3088114401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46" t="s">
        <v>142</v>
      </c>
      <c r="C21" s="11">
        <v>5549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SUM(C19:C21)</f>
        <v>4449100.3088114401</v>
      </c>
      <c r="D22" s="18" t="s">
        <v>2</v>
      </c>
      <c r="E22" s="17">
        <f>C22</f>
        <v>4449100.3088114401</v>
      </c>
      <c r="F22" s="18" t="s">
        <v>2</v>
      </c>
      <c r="G22" s="1"/>
    </row>
    <row r="23" spans="1:7" x14ac:dyDescent="0.25">
      <c r="A23" s="1"/>
      <c r="B23" s="39" t="s">
        <v>78</v>
      </c>
      <c r="C23" s="40"/>
      <c r="D23" s="41"/>
      <c r="E23" s="20">
        <f>SUM(E13,E17,E22)</f>
        <v>70067920.610368133</v>
      </c>
      <c r="F23" s="21" t="s">
        <v>2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7" t="s">
        <v>93</v>
      </c>
      <c r="C3" s="97"/>
      <c r="D3" s="97"/>
      <c r="E3" s="97"/>
      <c r="F3" s="97"/>
      <c r="G3" s="97"/>
      <c r="H3" s="97"/>
      <c r="I3" s="1"/>
    </row>
    <row r="4" spans="1:9" ht="29.25" customHeight="1" x14ac:dyDescent="0.25">
      <c r="A4" s="1"/>
      <c r="B4" s="97"/>
      <c r="C4" s="97"/>
      <c r="D4" s="97"/>
      <c r="E4" s="97"/>
      <c r="F4" s="97"/>
      <c r="G4" s="97"/>
      <c r="H4" s="9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70962201.776855379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1891796.5090160426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4843515.5249492489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1931623.0175000001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64226889.74289009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3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102</v>
      </c>
      <c r="C3" s="92"/>
      <c r="D3" s="92"/>
      <c r="E3" s="92"/>
      <c r="F3" s="92"/>
      <c r="G3" s="1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111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68" t="s">
        <v>135</v>
      </c>
      <c r="C10" s="63"/>
      <c r="D10" s="64"/>
      <c r="E10" s="11">
        <v>365632</v>
      </c>
      <c r="F10" s="22" t="s">
        <v>2</v>
      </c>
      <c r="G10" s="1"/>
      <c r="H10" s="1"/>
    </row>
    <row r="11" spans="1:8" x14ac:dyDescent="0.25">
      <c r="A11" s="1"/>
      <c r="B11" s="68" t="s">
        <v>136</v>
      </c>
      <c r="C11" s="69"/>
      <c r="D11" s="70"/>
      <c r="E11" s="11">
        <v>43217</v>
      </c>
      <c r="F11" s="22" t="s">
        <v>2</v>
      </c>
      <c r="G11" s="1"/>
      <c r="H11" s="1"/>
    </row>
    <row r="12" spans="1:8" ht="29.25" customHeight="1" x14ac:dyDescent="0.25">
      <c r="A12" s="1"/>
      <c r="B12" s="98" t="s">
        <v>137</v>
      </c>
      <c r="C12" s="99"/>
      <c r="D12" s="100"/>
      <c r="E12" s="11">
        <v>2934178</v>
      </c>
      <c r="F12" s="22" t="s">
        <v>2</v>
      </c>
      <c r="G12" s="1"/>
      <c r="H12" s="1"/>
    </row>
    <row r="13" spans="1:8" x14ac:dyDescent="0.25">
      <c r="A13" s="1"/>
      <c r="B13" s="68" t="s">
        <v>138</v>
      </c>
      <c r="C13" s="69"/>
      <c r="D13" s="70"/>
      <c r="E13" s="11">
        <v>58473</v>
      </c>
      <c r="F13" s="22" t="s">
        <v>2</v>
      </c>
      <c r="G13" s="1"/>
      <c r="H13" s="1"/>
    </row>
    <row r="14" spans="1:8" x14ac:dyDescent="0.25">
      <c r="A14" s="1"/>
      <c r="B14" s="68" t="s">
        <v>139</v>
      </c>
      <c r="C14" s="69"/>
      <c r="D14" s="70"/>
      <c r="E14" s="11">
        <v>500295</v>
      </c>
      <c r="F14" s="22" t="s">
        <v>2</v>
      </c>
      <c r="G14" s="1"/>
      <c r="H14" s="1"/>
    </row>
    <row r="15" spans="1:8" x14ac:dyDescent="0.25">
      <c r="A15" s="1"/>
      <c r="B15" s="68" t="s">
        <v>140</v>
      </c>
      <c r="C15" s="69"/>
      <c r="D15" s="70"/>
      <c r="E15" s="11">
        <v>99168</v>
      </c>
      <c r="F15" s="22" t="s">
        <v>2</v>
      </c>
      <c r="G15" s="1"/>
      <c r="H15" s="1"/>
    </row>
    <row r="16" spans="1:8" x14ac:dyDescent="0.25">
      <c r="A16" s="1"/>
      <c r="B16" s="68" t="s">
        <v>141</v>
      </c>
      <c r="C16" s="69"/>
      <c r="D16" s="70"/>
      <c r="E16" s="11">
        <v>85419</v>
      </c>
      <c r="F16" s="22" t="s">
        <v>2</v>
      </c>
      <c r="G16" s="1"/>
      <c r="H16" s="1"/>
    </row>
    <row r="17" spans="1:8" x14ac:dyDescent="0.25">
      <c r="A17" s="1"/>
      <c r="B17" s="94" t="s">
        <v>128</v>
      </c>
      <c r="C17" s="95"/>
      <c r="D17" s="96"/>
      <c r="E17" s="20">
        <f>SUM(E10:E16)</f>
        <v>4086382</v>
      </c>
      <c r="F17" s="21" t="s">
        <v>2</v>
      </c>
      <c r="G17" s="1"/>
      <c r="H17" s="1"/>
    </row>
    <row r="18" spans="1:8" x14ac:dyDescent="0.25">
      <c r="A18" s="1"/>
      <c r="B18" s="94" t="s">
        <v>129</v>
      </c>
      <c r="C18" s="95"/>
      <c r="D18" s="96"/>
      <c r="E18" s="20">
        <f>E17*(1+Prisudvikling2019)^2</f>
        <v>4225668.8231630195</v>
      </c>
      <c r="F18" s="21" t="s">
        <v>2</v>
      </c>
      <c r="G18" s="1"/>
      <c r="H18" s="1"/>
    </row>
    <row r="19" spans="1:8" x14ac:dyDescent="0.25">
      <c r="A19" s="1"/>
      <c r="B19" s="24"/>
      <c r="C19" s="23"/>
      <c r="D19" s="23"/>
      <c r="E19" s="23"/>
      <c r="F19" s="23"/>
      <c r="G19" s="1"/>
      <c r="H19" s="1"/>
    </row>
    <row r="20" spans="1:8" x14ac:dyDescent="0.25">
      <c r="A20" s="1"/>
      <c r="B20" s="23"/>
      <c r="C20" s="23"/>
      <c r="D20" s="23"/>
      <c r="E20" s="23"/>
      <c r="F20" s="23"/>
      <c r="G20" s="1"/>
      <c r="H20" s="1"/>
    </row>
    <row r="21" spans="1:8" x14ac:dyDescent="0.25">
      <c r="A21" s="1"/>
      <c r="B21" s="1"/>
      <c r="C21" s="1"/>
      <c r="D21" s="1"/>
      <c r="E21" s="23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</row>
  </sheetData>
  <sheetProtection password="DFE9" sheet="1" objects="1" scenarios="1"/>
  <mergeCells count="4">
    <mergeCell ref="B3:F4"/>
    <mergeCell ref="B17:D17"/>
    <mergeCell ref="B18:D18"/>
    <mergeCell ref="B12:D12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120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82</v>
      </c>
      <c r="C9" s="43"/>
      <c r="D9" s="43"/>
      <c r="E9" s="43"/>
      <c r="F9" s="44"/>
      <c r="G9" s="56">
        <v>469961.36008298083</v>
      </c>
      <c r="H9" s="22" t="s">
        <v>2</v>
      </c>
      <c r="I9" s="1"/>
    </row>
    <row r="10" spans="1:9" x14ac:dyDescent="0.25">
      <c r="A10" s="1"/>
      <c r="B10" s="42" t="s">
        <v>83</v>
      </c>
      <c r="C10" s="43"/>
      <c r="D10" s="43"/>
      <c r="E10" s="43"/>
      <c r="F10" s="44"/>
      <c r="G10" s="56">
        <f>G9/GenereltKravDrift2018</f>
        <v>23498068.004149042</v>
      </c>
      <c r="H10" s="22" t="s">
        <v>2</v>
      </c>
      <c r="I10" s="1"/>
    </row>
    <row r="11" spans="1:9" x14ac:dyDescent="0.25">
      <c r="A11" s="1"/>
      <c r="B11" s="42" t="s">
        <v>84</v>
      </c>
      <c r="C11" s="43"/>
      <c r="D11" s="43"/>
      <c r="E11" s="43"/>
      <c r="F11" s="44"/>
      <c r="G11" s="56">
        <v>789197.90282729291</v>
      </c>
      <c r="H11" s="22" t="s">
        <v>2</v>
      </c>
      <c r="I11" s="1"/>
    </row>
    <row r="12" spans="1:9" x14ac:dyDescent="0.25">
      <c r="A12" s="1"/>
      <c r="B12" s="42" t="s">
        <v>85</v>
      </c>
      <c r="C12" s="43"/>
      <c r="D12" s="43"/>
      <c r="E12" s="43"/>
      <c r="F12" s="44"/>
      <c r="G12" s="56">
        <f>G11/GenereltKravAnlæg2018</f>
        <v>44587452.137135193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101" t="s">
        <v>87</v>
      </c>
      <c r="C17" s="102"/>
      <c r="D17" s="102"/>
      <c r="E17" s="102"/>
      <c r="F17" s="103"/>
      <c r="G17" s="57">
        <v>0.02</v>
      </c>
      <c r="H17" s="22"/>
      <c r="I17" s="1"/>
    </row>
    <row r="18" spans="1:9" x14ac:dyDescent="0.25">
      <c r="A18" s="1"/>
      <c r="B18" s="101" t="s">
        <v>86</v>
      </c>
      <c r="C18" s="102"/>
      <c r="D18" s="102"/>
      <c r="E18" s="102"/>
      <c r="F18" s="103"/>
      <c r="G18" s="57">
        <v>0.02</v>
      </c>
      <c r="H18" s="22"/>
      <c r="I18" s="1"/>
    </row>
    <row r="19" spans="1:9" x14ac:dyDescent="0.25">
      <c r="A19" s="1"/>
      <c r="B19" s="101" t="s">
        <v>88</v>
      </c>
      <c r="C19" s="102"/>
      <c r="D19" s="102"/>
      <c r="E19" s="102"/>
      <c r="F19" s="103"/>
      <c r="G19" s="57">
        <v>1.77E-2</v>
      </c>
      <c r="H19" s="22"/>
      <c r="I19" s="1"/>
    </row>
    <row r="20" spans="1:9" x14ac:dyDescent="0.25">
      <c r="A20" s="1"/>
      <c r="B20" s="101" t="s">
        <v>132</v>
      </c>
      <c r="C20" s="102"/>
      <c r="D20" s="102"/>
      <c r="E20" s="102"/>
      <c r="F20" s="103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125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-3544390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-2283602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-1260788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2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-630394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2018-09-13T10:16:38Z</dcterms:modified>
</cp:coreProperties>
</file>