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E15" i="19" l="1"/>
  <c r="E12" i="34" l="1"/>
  <c r="E18" i="34" l="1"/>
  <c r="E20" i="34" s="1"/>
  <c r="G21" i="34" s="1"/>
  <c r="G22" i="34" s="1"/>
  <c r="C26" i="15" s="1"/>
  <c r="E26" i="15" s="1"/>
  <c r="C16" i="23" l="1"/>
  <c r="C17" i="22"/>
  <c r="C17" i="15"/>
  <c r="C21" i="2"/>
  <c r="G12" i="34" l="1"/>
  <c r="C24" i="22" s="1"/>
  <c r="E24" i="22" s="1"/>
  <c r="G10" i="30" l="1"/>
  <c r="G12" i="30"/>
  <c r="E10" i="11" l="1"/>
  <c r="G13" i="11"/>
  <c r="F13" i="11"/>
  <c r="D10" i="20" s="1"/>
  <c r="C31" i="2" l="1"/>
  <c r="C17" i="23" l="1"/>
  <c r="E17" i="23" s="1"/>
  <c r="C18" i="22" l="1"/>
  <c r="E18" i="22" s="1"/>
  <c r="C18" i="15"/>
  <c r="E18" i="15" s="1"/>
  <c r="C22" i="2"/>
  <c r="E22" i="2" s="1"/>
  <c r="G13" i="27"/>
  <c r="D13" i="20" l="1"/>
  <c r="F11" i="21"/>
  <c r="F12" i="21" s="1"/>
  <c r="C13" i="2" s="1"/>
  <c r="D11" i="21"/>
  <c r="D12" i="21" s="1"/>
  <c r="C12" i="2" s="1"/>
  <c r="C9" i="2"/>
  <c r="E16" i="19"/>
  <c r="C24" i="2" l="1"/>
  <c r="C26" i="2" s="1"/>
  <c r="E26" i="2" s="1"/>
  <c r="C20" i="22"/>
  <c r="C22" i="22" s="1"/>
  <c r="E22" i="22" s="1"/>
  <c r="C19" i="23"/>
  <c r="C20" i="15"/>
  <c r="C22" i="15" l="1"/>
  <c r="E22" i="15" s="1"/>
  <c r="C21" i="23"/>
  <c r="E21" i="23" s="1"/>
  <c r="G11" i="10"/>
  <c r="E31" i="2" l="1"/>
  <c r="G13" i="10"/>
  <c r="C24" i="15" s="1"/>
  <c r="E12" i="11"/>
  <c r="E24" i="15" l="1"/>
  <c r="D14" i="20"/>
  <c r="C10" i="2" s="1"/>
  <c r="C16" i="2" s="1"/>
  <c r="C12" i="15" l="1"/>
  <c r="C12" i="22" s="1"/>
  <c r="C11" i="23" s="1"/>
  <c r="E11" i="11"/>
  <c r="E13" i="11" l="1"/>
  <c r="F10" i="20" s="1"/>
  <c r="F13" i="20" s="1"/>
  <c r="F14" i="20" s="1"/>
  <c r="C11" i="2" s="1"/>
  <c r="C17" i="2" s="1"/>
  <c r="C33" i="2"/>
  <c r="E33" i="2" s="1"/>
  <c r="C13" i="15" l="1"/>
  <c r="C13" i="22" s="1"/>
  <c r="C12" i="23" s="1"/>
  <c r="C14" i="2"/>
  <c r="C15" i="2" s="1"/>
  <c r="C18" i="2" l="1"/>
  <c r="E18" i="2" s="1"/>
  <c r="E34" i="2" s="1"/>
  <c r="C9" i="15" l="1"/>
  <c r="C10" i="15" l="1"/>
  <c r="C11" i="15" s="1"/>
  <c r="C14" i="15" l="1"/>
  <c r="E14" i="15" s="1"/>
  <c r="E27" i="15" s="1"/>
  <c r="C9" i="22" l="1"/>
  <c r="C10" i="22" l="1"/>
  <c r="C11" i="22" s="1"/>
  <c r="C14" i="22" l="1"/>
  <c r="E14" i="22" s="1"/>
  <c r="E25" i="22" s="1"/>
  <c r="C8" i="23" l="1"/>
  <c r="C9" i="23" l="1"/>
  <c r="C10" i="23" l="1"/>
  <c r="C13" i="23" s="1"/>
  <c r="E13" i="23" s="1"/>
  <c r="E22" i="23" s="1"/>
</calcChain>
</file>

<file path=xl/sharedStrings.xml><?xml version="1.0" encoding="utf-8"?>
<sst xmlns="http://schemas.openxmlformats.org/spreadsheetml/2006/main" count="336" uniqueCount="148">
  <si>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</si>
  <si>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</si>
  <si>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</si>
  <si>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</si>
  <si>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</si>
  <si>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</si>
  <si>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</si>
  <si>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</si>
  <si>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</si>
  <si>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</si>
  <si>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</si>
  <si>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</si>
  <si>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</si>
  <si>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</si>
  <si>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</si>
  <si>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</si>
  <si>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</si>
  <si>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</si>
  <si>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</si>
  <si>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</si>
  <si>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</si>
  <si>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</si>
  <si>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</si>
  <si>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</si>
  <si>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</si>
  <si>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</si>
  <si>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</si>
  <si>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</si>
  <si>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</si>
  <si>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</si>
  <si>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</si>
  <si>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</si>
  <si>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</si>
  <si>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</si>
  <si>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</si>
  <si>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</si>
  <si>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</si>
  <si>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</si>
  <si>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</si>
  <si>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</si>
  <si>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</si>
  <si>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</si>
  <si>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</si>
  <si>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</si>
  <si>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</si>
  <si>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</si>
  <si>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</si>
  <si>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</si>
  <si>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</si>
  <si>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</si>
  <si>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</si>
  <si>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</si>
  <si>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</si>
  <si>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</si>
  <si>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</si>
  <si>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</si>
  <si>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</si>
  <si>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</si>
  <si>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</si>
  <si>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</si>
  <si>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</si>
  <si>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</si>
  <si>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</si>
  <si>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</si>
  <si>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</si>
  <si>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</si>
  <si>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</si>
  <si>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</si>
  <si>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</si>
  <si>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</si>
  <si>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</si>
  <si>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</si>
  <si>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</si>
  <si>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</si>
  <si>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</si>
  <si>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</si>
  <si>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</si>
  <si>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</si>
  <si>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</si>
  <si>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</si>
  <si>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</si>
  <si>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</si>
  <si>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</si>
  <si>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</si>
  <si>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</si>
  <si>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</si>
  <si>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</si>
  <si>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</si>
  <si>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</si>
  <si>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</si>
  <si>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</si>
  <si>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</si>
  <si>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</si>
  <si>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</si>
  <si>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</si>
  <si>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</si>
  <si>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</si>
  <si>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</si>
  <si>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</si>
  <si>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</si>
  <si>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</si>
  <si>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</si>
  <si>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</si>
  <si>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</si>
  <si>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</si>
  <si>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</si>
  <si>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</si>
  <si>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</si>
  <si>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</si>
  <si>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</si>
  <si>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</si>
  <si>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</si>
  <si>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</si>
  <si>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</si>
  <si>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</si>
  <si>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</si>
  <si>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</si>
  <si>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</si>
  <si>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</si>
  <si>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</si>
  <si>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</si>
  <si>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</si>
  <si>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</si>
  <si>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</si>
  <si>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</si>
  <si>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</si>
  <si>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</si>
  <si>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</si>
  <si>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</si>
  <si>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</si>
  <si>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</si>
  <si>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</si>
  <si>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</si>
  <si>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Periodevise driftsomkostninger under prisloftsbekendtgørelsen</t>
  </si>
  <si>
    <t>Ingen bortfald eller nedsættelse</t>
  </si>
  <si>
    <t xml:space="preserve">Udskiftning af karm og dæksel </t>
  </si>
  <si>
    <t xml:space="preserve">Asfaltretablering </t>
  </si>
  <si>
    <t>Spildevandsafgift</t>
  </si>
  <si>
    <t>Afgift til Forsyningsekretariatet</t>
  </si>
  <si>
    <t>Køb af ydelser og produkter fra andre vandselskaber reguleret af vandsektorloven</t>
  </si>
  <si>
    <t>Skatter og afgifter</t>
  </si>
  <si>
    <t>Selskabsskatter</t>
  </si>
  <si>
    <t>Ø 200 mm &lt; Ledningsnet ≤ Ø 500 mm</t>
  </si>
  <si>
    <t>Strømpeforing Ø 200 mm &lt; Ledningsnet ≤ Ø 500 mm</t>
  </si>
  <si>
    <t>75</t>
  </si>
  <si>
    <t>50</t>
  </si>
  <si>
    <t>Fane 10: Bortfald eller nedsættelse af omkostninger til mål, medfinansiering eller udvidelse</t>
  </si>
  <si>
    <t>Fane 11: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</si>
</sst>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center"/>
    </xf>
    <xf numFmtId="0" fontId="8" fillId="9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49" fontId="8" fillId="9" borderId="10" xfId="0" applyNumberFormat="1" applyFont="1" applyFill="1" applyBorder="1" applyAlignment="1" applyProtection="1"/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6" t="s">
        <v>3</v>
      </c>
      <c r="E6" s="86"/>
      <c r="F6" s="86"/>
      <c r="G6" s="86"/>
      <c r="H6" s="3"/>
      <c r="I6" s="1"/>
    </row>
    <row r="7" spans="1:9" ht="15" customHeight="1" x14ac:dyDescent="0.25">
      <c r="A7" s="1"/>
      <c r="B7" s="1"/>
      <c r="C7" s="3"/>
      <c r="D7" s="86"/>
      <c r="E7" s="86"/>
      <c r="F7" s="86"/>
      <c r="G7" s="86"/>
      <c r="H7" s="3"/>
      <c r="I7" s="1"/>
    </row>
    <row r="8" spans="1:9" ht="15.75" x14ac:dyDescent="0.25">
      <c r="A8" s="1"/>
      <c r="B8" s="1"/>
      <c r="C8" s="4"/>
      <c r="D8" s="88" t="s">
        <v>123</v>
      </c>
      <c r="E8" s="88"/>
      <c r="F8" s="88"/>
      <c r="G8" s="8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7" t="s">
        <v>4</v>
      </c>
      <c r="E11" s="87"/>
      <c r="F11" s="87"/>
      <c r="G11" s="8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83" t="s">
        <v>31</v>
      </c>
      <c r="E13" s="84"/>
      <c r="F13" s="84"/>
      <c r="G13" s="85"/>
      <c r="H13" s="1"/>
      <c r="I13" s="1"/>
    </row>
    <row r="14" spans="1:9" x14ac:dyDescent="0.25">
      <c r="A14" s="1"/>
      <c r="B14" s="1"/>
      <c r="C14" s="6" t="s">
        <v>30</v>
      </c>
      <c r="D14" s="83" t="s">
        <v>95</v>
      </c>
      <c r="E14" s="84"/>
      <c r="F14" s="84"/>
      <c r="G14" s="85"/>
      <c r="H14" s="1"/>
      <c r="I14" s="1"/>
    </row>
    <row r="15" spans="1:9" x14ac:dyDescent="0.25">
      <c r="A15" s="1"/>
      <c r="B15" s="1"/>
      <c r="C15" s="6" t="s">
        <v>94</v>
      </c>
      <c r="D15" s="83" t="s">
        <v>97</v>
      </c>
      <c r="E15" s="84"/>
      <c r="F15" s="84"/>
      <c r="G15" s="85"/>
      <c r="H15" s="1"/>
      <c r="I15" s="1"/>
    </row>
    <row r="16" spans="1:9" x14ac:dyDescent="0.25">
      <c r="A16" s="1"/>
      <c r="B16" s="1"/>
      <c r="C16" s="6" t="s">
        <v>96</v>
      </c>
      <c r="D16" s="83" t="s">
        <v>124</v>
      </c>
      <c r="E16" s="84"/>
      <c r="F16" s="84"/>
      <c r="G16" s="85"/>
      <c r="H16" s="1"/>
      <c r="I16" s="1"/>
    </row>
    <row r="17" spans="1:9" x14ac:dyDescent="0.25">
      <c r="A17" s="1"/>
      <c r="B17" s="1"/>
      <c r="C17" s="6" t="s">
        <v>6</v>
      </c>
      <c r="D17" s="89" t="s">
        <v>98</v>
      </c>
      <c r="E17" s="90"/>
      <c r="F17" s="90"/>
      <c r="G17" s="91"/>
      <c r="H17" s="1"/>
      <c r="I17" s="1"/>
    </row>
    <row r="18" spans="1:9" x14ac:dyDescent="0.25">
      <c r="A18" s="1"/>
      <c r="B18" s="1"/>
      <c r="C18" s="6" t="s">
        <v>7</v>
      </c>
      <c r="D18" s="89" t="s">
        <v>99</v>
      </c>
      <c r="E18" s="90"/>
      <c r="F18" s="90"/>
      <c r="G18" s="91"/>
      <c r="H18" s="1"/>
      <c r="I18" s="1"/>
    </row>
    <row r="19" spans="1:9" x14ac:dyDescent="0.25">
      <c r="A19" s="1"/>
      <c r="B19" s="1"/>
      <c r="C19" s="6" t="s">
        <v>8</v>
      </c>
      <c r="D19" s="74" t="s">
        <v>103</v>
      </c>
      <c r="E19" s="75"/>
      <c r="F19" s="75"/>
      <c r="G19" s="76"/>
      <c r="H19" s="1"/>
      <c r="I19" s="1"/>
    </row>
    <row r="20" spans="1:9" x14ac:dyDescent="0.25">
      <c r="A20" s="1"/>
      <c r="B20" s="1"/>
      <c r="C20" s="6" t="s">
        <v>9</v>
      </c>
      <c r="D20" s="77" t="s">
        <v>100</v>
      </c>
      <c r="E20" s="78"/>
      <c r="F20" s="78"/>
      <c r="G20" s="79"/>
      <c r="H20" s="1"/>
      <c r="I20" s="1"/>
    </row>
    <row r="21" spans="1:9" x14ac:dyDescent="0.25">
      <c r="A21" s="1"/>
      <c r="B21" s="1"/>
      <c r="C21" s="6" t="s">
        <v>10</v>
      </c>
      <c r="D21" s="77" t="s">
        <v>122</v>
      </c>
      <c r="E21" s="78"/>
      <c r="F21" s="78"/>
      <c r="G21" s="79"/>
      <c r="H21" s="1"/>
      <c r="I21" s="1"/>
    </row>
    <row r="22" spans="1:9" x14ac:dyDescent="0.25">
      <c r="A22" s="1"/>
      <c r="B22" s="1"/>
      <c r="C22" s="6" t="s">
        <v>11</v>
      </c>
      <c r="D22" s="77" t="s">
        <v>104</v>
      </c>
      <c r="E22" s="78"/>
      <c r="F22" s="78"/>
      <c r="G22" s="79"/>
      <c r="H22" s="1"/>
      <c r="I22" s="1"/>
    </row>
    <row r="23" spans="1:9" x14ac:dyDescent="0.25">
      <c r="A23" s="1"/>
      <c r="B23" s="1"/>
      <c r="C23" s="6" t="s">
        <v>12</v>
      </c>
      <c r="D23" s="80" t="s">
        <v>28</v>
      </c>
      <c r="E23" s="81"/>
      <c r="F23" s="81"/>
      <c r="G23" s="82"/>
      <c r="H23" s="1"/>
      <c r="I23" s="1"/>
    </row>
    <row r="24" spans="1:9" x14ac:dyDescent="0.25">
      <c r="A24" s="1"/>
      <c r="B24" s="1"/>
      <c r="C24" s="6" t="s">
        <v>26</v>
      </c>
      <c r="D24" s="71" t="s">
        <v>101</v>
      </c>
      <c r="E24" s="72"/>
      <c r="F24" s="72"/>
      <c r="G24" s="73"/>
      <c r="H24" s="1"/>
      <c r="I24" s="1"/>
    </row>
    <row r="25" spans="1:9" x14ac:dyDescent="0.25">
      <c r="A25" s="1"/>
      <c r="B25" s="1"/>
      <c r="C25" s="6" t="s">
        <v>29</v>
      </c>
      <c r="D25" s="71" t="s">
        <v>54</v>
      </c>
      <c r="E25" s="72"/>
      <c r="F25" s="72"/>
      <c r="G25" s="73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  <mergeCell ref="D24:G24"/>
    <mergeCell ref="D25:G25"/>
    <mergeCell ref="D19:G19"/>
    <mergeCell ref="D21:G21"/>
    <mergeCell ref="D22:G22"/>
    <mergeCell ref="D23:G2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7" t="s">
        <v>126</v>
      </c>
      <c r="C3" s="97"/>
      <c r="D3" s="97"/>
      <c r="E3" s="97"/>
      <c r="F3" s="97"/>
      <c r="G3" s="97"/>
      <c r="H3" s="97"/>
      <c r="I3" s="1"/>
    </row>
    <row r="4" spans="1:9" ht="15" customHeight="1" x14ac:dyDescent="0.25">
      <c r="A4" s="1"/>
      <c r="B4" s="97"/>
      <c r="C4" s="97"/>
      <c r="D4" s="97"/>
      <c r="E4" s="97"/>
      <c r="F4" s="97"/>
      <c r="G4" s="97"/>
      <c r="H4" s="9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116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101" t="s">
        <v>105</v>
      </c>
      <c r="C9" s="102"/>
      <c r="D9" s="103"/>
      <c r="E9" s="11">
        <v>64513286.317421913</v>
      </c>
      <c r="F9" s="22" t="s">
        <v>2</v>
      </c>
      <c r="G9" s="19"/>
      <c r="H9" s="27"/>
      <c r="I9" s="1"/>
    </row>
    <row r="10" spans="1:9" x14ac:dyDescent="0.25">
      <c r="A10" s="1"/>
      <c r="B10" s="101" t="s">
        <v>106</v>
      </c>
      <c r="C10" s="102"/>
      <c r="D10" s="103"/>
      <c r="E10" s="11">
        <v>60862591</v>
      </c>
      <c r="F10" s="22" t="s">
        <v>2</v>
      </c>
      <c r="G10" s="14"/>
      <c r="H10" s="28"/>
      <c r="I10" s="1"/>
    </row>
    <row r="11" spans="1:9" x14ac:dyDescent="0.25">
      <c r="A11" s="1"/>
      <c r="B11" s="101" t="s">
        <v>112</v>
      </c>
      <c r="C11" s="102"/>
      <c r="D11" s="103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107</v>
      </c>
      <c r="C12" s="48"/>
      <c r="D12" s="49"/>
      <c r="E12" s="17">
        <f>E9-(E10-E11)</f>
        <v>3650695.3174219131</v>
      </c>
      <c r="F12" s="25" t="s">
        <v>2</v>
      </c>
      <c r="G12" s="17">
        <f>E12</f>
        <v>3650695.3174219131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4" t="s">
        <v>117</v>
      </c>
      <c r="C17" s="95"/>
      <c r="D17" s="95"/>
      <c r="E17" s="95"/>
      <c r="F17" s="95"/>
      <c r="G17" s="95"/>
      <c r="H17" s="96"/>
      <c r="I17" s="1"/>
    </row>
    <row r="18" spans="1:9" x14ac:dyDescent="0.25">
      <c r="A18" s="1"/>
      <c r="B18" s="104" t="s">
        <v>118</v>
      </c>
      <c r="C18" s="105"/>
      <c r="D18" s="106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104" t="s">
        <v>113</v>
      </c>
      <c r="C19" s="105"/>
      <c r="D19" s="106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104" t="s">
        <v>119</v>
      </c>
      <c r="C20" s="105"/>
      <c r="D20" s="106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94" t="s">
        <v>114</v>
      </c>
      <c r="C21" s="95"/>
      <c r="D21" s="95"/>
      <c r="E21" s="95"/>
      <c r="F21" s="96"/>
      <c r="G21" s="20">
        <f>E20</f>
        <v>0</v>
      </c>
      <c r="H21" s="21" t="s">
        <v>2</v>
      </c>
      <c r="I21" s="1"/>
    </row>
    <row r="22" spans="1:9" x14ac:dyDescent="0.25">
      <c r="A22" s="1"/>
      <c r="B22" s="94" t="s">
        <v>115</v>
      </c>
      <c r="C22" s="95"/>
      <c r="D22" s="95"/>
      <c r="E22" s="95"/>
      <c r="F22" s="96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3:H4"/>
    <mergeCell ref="B8:H8"/>
    <mergeCell ref="B17:H17"/>
    <mergeCell ref="B9:D9"/>
    <mergeCell ref="B10:D10"/>
    <mergeCell ref="B11:D11"/>
    <mergeCell ref="B18:D18"/>
    <mergeCell ref="B19:D19"/>
    <mergeCell ref="B20:D20"/>
    <mergeCell ref="B21:F21"/>
    <mergeCell ref="B22:F22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130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127</v>
      </c>
      <c r="C8" s="95"/>
      <c r="D8" s="95"/>
      <c r="E8" s="95"/>
      <c r="F8" s="95"/>
      <c r="G8" s="95"/>
      <c r="H8" s="96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ht="26.25" x14ac:dyDescent="0.25">
      <c r="A10" s="1"/>
      <c r="B10" s="66" t="s">
        <v>142</v>
      </c>
      <c r="C10" s="67" t="s">
        <v>144</v>
      </c>
      <c r="D10" s="11">
        <v>3717695.24</v>
      </c>
      <c r="E10" s="11">
        <f>D10/C10</f>
        <v>49569.269866666669</v>
      </c>
      <c r="F10" s="11">
        <v>0</v>
      </c>
      <c r="G10" s="11">
        <v>0</v>
      </c>
      <c r="H10" s="22" t="s">
        <v>2</v>
      </c>
      <c r="I10" s="1"/>
    </row>
    <row r="11" spans="1:9" ht="26.25" x14ac:dyDescent="0.25">
      <c r="A11" s="1"/>
      <c r="B11" s="66" t="s">
        <v>143</v>
      </c>
      <c r="C11" s="67" t="s">
        <v>145</v>
      </c>
      <c r="D11" s="11">
        <v>92257.5</v>
      </c>
      <c r="E11" s="11">
        <f t="shared" ref="E11:E12" si="0">D11/C11</f>
        <v>1845.15</v>
      </c>
      <c r="F11" s="11">
        <v>0</v>
      </c>
      <c r="G11" s="11">
        <v>0</v>
      </c>
      <c r="H11" s="22" t="s">
        <v>2</v>
      </c>
      <c r="I11" s="1"/>
    </row>
    <row r="12" spans="1:9" ht="26.25" x14ac:dyDescent="0.25">
      <c r="A12" s="1"/>
      <c r="B12" s="66" t="s">
        <v>142</v>
      </c>
      <c r="C12" s="67" t="s">
        <v>144</v>
      </c>
      <c r="D12" s="11">
        <v>17491.5</v>
      </c>
      <c r="E12" s="11">
        <f t="shared" si="0"/>
        <v>233.22</v>
      </c>
      <c r="F12" s="11">
        <v>0</v>
      </c>
      <c r="G12" s="11">
        <v>0</v>
      </c>
      <c r="H12" s="22" t="s">
        <v>2</v>
      </c>
      <c r="I12" s="1"/>
    </row>
    <row r="13" spans="1:9" x14ac:dyDescent="0.25">
      <c r="A13" s="1"/>
      <c r="B13" s="94" t="s">
        <v>131</v>
      </c>
      <c r="C13" s="95"/>
      <c r="D13" s="96"/>
      <c r="E13" s="20">
        <f>SUM(E10:E12)</f>
        <v>51647.639866666672</v>
      </c>
      <c r="F13" s="20">
        <f>SUM(F10:F12)</f>
        <v>0</v>
      </c>
      <c r="G13" s="20">
        <f>SUM(G10:G12)</f>
        <v>0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3">
    <mergeCell ref="B3:H4"/>
    <mergeCell ref="B8:H8"/>
    <mergeCell ref="B13:D13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121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127</v>
      </c>
      <c r="C10" s="59"/>
      <c r="D10" s="60">
        <f>'Fane 8. Anlægsprojekter'!F13</f>
        <v>0</v>
      </c>
      <c r="E10" s="22" t="s">
        <v>2</v>
      </c>
      <c r="F10" s="11">
        <f>SUM('Fane 8. Anlægsprojekter'!E13,'Fane 8. Anlægsprojekter'!G13)</f>
        <v>51647.639866666672</v>
      </c>
      <c r="G10" s="22" t="s">
        <v>2</v>
      </c>
      <c r="H10" s="1"/>
    </row>
    <row r="11" spans="1:8" x14ac:dyDescent="0.25">
      <c r="A11" s="1"/>
      <c r="B11" s="68" t="s">
        <v>135</v>
      </c>
      <c r="C11" s="69"/>
      <c r="D11" s="60">
        <v>0</v>
      </c>
      <c r="E11" s="22" t="s">
        <v>2</v>
      </c>
      <c r="F11" s="11">
        <v>0</v>
      </c>
      <c r="G11" s="22" t="s">
        <v>2</v>
      </c>
      <c r="H11" s="1"/>
    </row>
    <row r="12" spans="1:8" x14ac:dyDescent="0.25">
      <c r="A12" s="1"/>
      <c r="B12" s="58" t="s">
        <v>136</v>
      </c>
      <c r="C12" s="59"/>
      <c r="D12" s="60">
        <v>0</v>
      </c>
      <c r="E12" s="22" t="s">
        <v>2</v>
      </c>
      <c r="F12" s="11">
        <v>3221</v>
      </c>
      <c r="G12" s="22" t="s">
        <v>2</v>
      </c>
      <c r="H12" s="1"/>
    </row>
    <row r="13" spans="1:8" x14ac:dyDescent="0.25">
      <c r="A13" s="1"/>
      <c r="B13" s="39" t="s">
        <v>69</v>
      </c>
      <c r="C13" s="41"/>
      <c r="D13" s="20">
        <f>SUM(D10:D12)</f>
        <v>0</v>
      </c>
      <c r="E13" s="21" t="s">
        <v>2</v>
      </c>
      <c r="F13" s="20">
        <f>SUM(F10:F12)</f>
        <v>54868.639866666672</v>
      </c>
      <c r="G13" s="21" t="s">
        <v>2</v>
      </c>
      <c r="H13" s="1"/>
    </row>
    <row r="14" spans="1:8" x14ac:dyDescent="0.25">
      <c r="A14" s="1"/>
      <c r="B14" s="39" t="s">
        <v>70</v>
      </c>
      <c r="C14" s="41"/>
      <c r="D14" s="20">
        <f>D13*(1+Prisudvikling2019)</f>
        <v>0</v>
      </c>
      <c r="E14" s="21" t="s">
        <v>2</v>
      </c>
      <c r="F14" s="20">
        <f>F13*(1+Prisudvikling2019)</f>
        <v>55795.919880413334</v>
      </c>
      <c r="G14" s="21" t="s">
        <v>2</v>
      </c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7" t="s">
        <v>146</v>
      </c>
      <c r="C3" s="97"/>
      <c r="D3" s="97"/>
      <c r="E3" s="97"/>
      <c r="F3" s="97"/>
      <c r="G3" s="97"/>
      <c r="H3" s="1"/>
    </row>
    <row r="4" spans="1:8" ht="25.5" customHeight="1" x14ac:dyDescent="0.25">
      <c r="A4" s="1"/>
      <c r="B4" s="97"/>
      <c r="C4" s="97"/>
      <c r="D4" s="97"/>
      <c r="E4" s="97"/>
      <c r="F4" s="97"/>
      <c r="G4" s="9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134</v>
      </c>
      <c r="C10" s="70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7" t="s">
        <v>147</v>
      </c>
      <c r="C3" s="97"/>
      <c r="D3" s="97"/>
      <c r="E3" s="97"/>
      <c r="F3" s="97"/>
      <c r="G3" s="1"/>
      <c r="H3" s="1"/>
    </row>
    <row r="4" spans="1:8" ht="25.5" customHeight="1" x14ac:dyDescent="0.25">
      <c r="A4" s="1"/>
      <c r="B4" s="97"/>
      <c r="C4" s="97"/>
      <c r="D4" s="97"/>
      <c r="E4" s="97"/>
      <c r="F4" s="97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2.2719709581394175E-3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2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92" t="s">
        <v>41</v>
      </c>
      <c r="C3" s="92"/>
      <c r="D3" s="92"/>
      <c r="E3" s="92"/>
      <c r="F3" s="92"/>
      <c r="G3" s="1"/>
      <c r="I3" s="36"/>
    </row>
    <row r="4" spans="1:9" ht="15" customHeight="1" x14ac:dyDescent="0.25">
      <c r="A4" s="1"/>
      <c r="B4" s="92"/>
      <c r="C4" s="92"/>
      <c r="D4" s="92"/>
      <c r="E4" s="92"/>
      <c r="F4" s="92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59512559.087210886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Tillæg'!D14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Tillæg'!F14</f>
        <v>55795.919880413334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6" t="s">
        <v>37</v>
      </c>
      <c r="C14" s="11">
        <f>C9*Prisudvikling2018+SUM(C10:C13)*Prisudvikling2019</f>
        <v>1042412.7350721696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-137705.90406072885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6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-478446.19249461475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62</v>
      </c>
      <c r="C17" s="11">
        <f>-(('Fane 5. Generelt eff. krav'!G12-'Fane 5. Generelt eff. krav'!G11)*(1+Prisudvikling2018)*GenereltKravAnlæg2018+SUM(C11,C13)*(1+Prisudvikling2019)*GenereltKravAnlæg2019)</f>
        <v>-652865.93517784774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7" t="s">
        <v>40</v>
      </c>
      <c r="C18" s="17">
        <f>SUM(C9:C17)</f>
        <v>59341749.710430279</v>
      </c>
      <c r="D18" s="18" t="s">
        <v>2</v>
      </c>
      <c r="E18" s="17">
        <f>C18</f>
        <v>59341749.710430279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133</v>
      </c>
      <c r="C20" s="11">
        <v>1381521.8175000001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-(C20*(GenereltKravDrift2018+IndividueltKrav))</f>
        <v>-30769.213797395987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1350752.6037026041</v>
      </c>
      <c r="D22" s="18" t="s">
        <v>2</v>
      </c>
      <c r="E22" s="17">
        <f>C22</f>
        <v>1350752.6037026041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22</v>
      </c>
      <c r="C24" s="11">
        <f>'Fane 4. Ikke-påvirkelige omk.'!E16</f>
        <v>4816038.6387681188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29" t="s">
        <v>80</v>
      </c>
      <c r="C26" s="17">
        <f>SUM(C24:C25)</f>
        <v>4816038.6387681188</v>
      </c>
      <c r="D26" s="18" t="s">
        <v>2</v>
      </c>
      <c r="E26" s="17">
        <f>C26</f>
        <v>4816038.6387681188</v>
      </c>
      <c r="F26" s="18" t="s">
        <v>2</v>
      </c>
      <c r="G26" s="1"/>
    </row>
    <row r="27" spans="1:7" ht="15" customHeight="1" x14ac:dyDescent="0.25">
      <c r="A27" s="1"/>
      <c r="B27" s="39" t="s">
        <v>50</v>
      </c>
      <c r="C27" s="40"/>
      <c r="D27" s="40"/>
      <c r="E27" s="40"/>
      <c r="F27" s="41"/>
      <c r="G27" s="1"/>
    </row>
    <row r="28" spans="1:7" ht="15" customHeight="1" x14ac:dyDescent="0.25">
      <c r="A28" s="1"/>
      <c r="B28" s="45" t="s">
        <v>81</v>
      </c>
      <c r="C28" s="7">
        <v>-323254.42824909074</v>
      </c>
      <c r="D28" s="8" t="s">
        <v>2</v>
      </c>
      <c r="E28" s="33"/>
      <c r="F28" s="13"/>
      <c r="G28" s="1"/>
    </row>
    <row r="29" spans="1:7" ht="15" customHeight="1" x14ac:dyDescent="0.25">
      <c r="A29" s="1"/>
      <c r="B29" s="45" t="s">
        <v>51</v>
      </c>
      <c r="C29" s="7">
        <v>0</v>
      </c>
      <c r="D29" s="8" t="s">
        <v>2</v>
      </c>
      <c r="E29" s="32"/>
      <c r="F29" s="13"/>
      <c r="G29" s="1"/>
    </row>
    <row r="30" spans="1:7" ht="28.5" customHeight="1" x14ac:dyDescent="0.25">
      <c r="A30" s="1"/>
      <c r="B30" s="46" t="s">
        <v>52</v>
      </c>
      <c r="C30" s="7">
        <v>22580.904350499408</v>
      </c>
      <c r="D30" s="8" t="s">
        <v>2</v>
      </c>
      <c r="E30" s="32"/>
      <c r="F30" s="13"/>
      <c r="G30" s="1"/>
    </row>
    <row r="31" spans="1:7" ht="15" customHeight="1" x14ac:dyDescent="0.25">
      <c r="A31" s="1"/>
      <c r="B31" s="47" t="s">
        <v>53</v>
      </c>
      <c r="C31" s="17">
        <f>SUM(C28:C30)</f>
        <v>-300673.52389859135</v>
      </c>
      <c r="D31" s="18" t="s">
        <v>2</v>
      </c>
      <c r="E31" s="17">
        <f>C31</f>
        <v>-300673.52389859135</v>
      </c>
      <c r="F31" s="18" t="s">
        <v>2</v>
      </c>
      <c r="G31" s="1"/>
    </row>
    <row r="32" spans="1:7" x14ac:dyDescent="0.25">
      <c r="A32" s="1"/>
      <c r="B32" s="39" t="s">
        <v>15</v>
      </c>
      <c r="C32" s="40"/>
      <c r="D32" s="40"/>
      <c r="E32" s="40"/>
      <c r="F32" s="41"/>
      <c r="G32" s="1"/>
    </row>
    <row r="33" spans="1:7" ht="15" customHeight="1" x14ac:dyDescent="0.25">
      <c r="A33" s="1"/>
      <c r="B33" s="47" t="s">
        <v>24</v>
      </c>
      <c r="C33" s="17">
        <f>'Fane 6. Hist. over el. underdæk'!G13</f>
        <v>-467884.5</v>
      </c>
      <c r="D33" s="18" t="s">
        <v>2</v>
      </c>
      <c r="E33" s="17">
        <f>C33</f>
        <v>-467884.5</v>
      </c>
      <c r="F33" s="18" t="s">
        <v>2</v>
      </c>
      <c r="G33" s="1"/>
    </row>
    <row r="34" spans="1:7" x14ac:dyDescent="0.25">
      <c r="A34" s="1"/>
      <c r="B34" s="39" t="s">
        <v>33</v>
      </c>
      <c r="C34" s="40"/>
      <c r="D34" s="41"/>
      <c r="E34" s="20">
        <f>SUM(E18,E22,E26,E31,E33)</f>
        <v>64739982.929002412</v>
      </c>
      <c r="F34" s="21" t="s">
        <v>2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42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3" t="s">
        <v>43</v>
      </c>
      <c r="C5" s="93"/>
      <c r="D5" s="93"/>
      <c r="E5" s="93"/>
      <c r="F5" s="9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25</v>
      </c>
      <c r="C8" s="95"/>
      <c r="D8" s="95"/>
      <c r="E8" s="95"/>
      <c r="F8" s="96"/>
      <c r="G8" s="1"/>
    </row>
    <row r="9" spans="1:7" ht="15" customHeight="1" x14ac:dyDescent="0.25">
      <c r="A9" s="1"/>
      <c r="B9" s="45" t="s">
        <v>55</v>
      </c>
      <c r="C9" s="7">
        <f>'Fane 2.1. Økonomisk ramme 2019'!E18</f>
        <v>59341749.710430279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SUM(C9:C9)*Prisudvikling2019</f>
        <v>1002875.5701062717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-137101.23611718474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('Fane 2.1. Økonomisk ramme 2019'!C16/GenereltKravDrift2018-'Fane 2.1. Økonomisk ramme 2019'!C16)*(1+Prisudvikling2019)*GenereltKravDrift2019</f>
        <v>-476801.29448481824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6" t="s">
        <v>62</v>
      </c>
      <c r="C13" s="11">
        <f>(('Fane 2.1. Økonomisk ramme 2019'!C17/GenereltKravAnlæg2018-'Fane 2.1. Økonomisk ramme 2019'!C17)*(1+Prisudvikling2019)*GenereltKravAnlæg2019)</f>
        <v>-320547.49438360939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7" t="s">
        <v>40</v>
      </c>
      <c r="C14" s="17">
        <f>SUM(C9:C13)</f>
        <v>59410175.255550936</v>
      </c>
      <c r="D14" s="18" t="s">
        <v>2</v>
      </c>
      <c r="E14" s="17">
        <f>C14</f>
        <v>59410175.255550936</v>
      </c>
      <c r="F14" s="18" t="s">
        <v>2</v>
      </c>
      <c r="G14" s="1"/>
    </row>
    <row r="15" spans="1:7" ht="15" customHeight="1" x14ac:dyDescent="0.25">
      <c r="A15" s="1"/>
      <c r="B15" s="94" t="s">
        <v>74</v>
      </c>
      <c r="C15" s="95"/>
      <c r="D15" s="95"/>
      <c r="E15" s="95"/>
      <c r="F15" s="96"/>
      <c r="G15" s="1"/>
    </row>
    <row r="16" spans="1:7" ht="15" customHeight="1" x14ac:dyDescent="0.25">
      <c r="A16" s="1"/>
      <c r="B16" s="46" t="s">
        <v>133</v>
      </c>
      <c r="C16" s="11">
        <v>1629614.4787133897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-36294.726342868118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1593319.7523705217</v>
      </c>
      <c r="D18" s="18" t="s">
        <v>2</v>
      </c>
      <c r="E18" s="17">
        <f>C18</f>
        <v>1593319.7523705217</v>
      </c>
      <c r="F18" s="18" t="s">
        <v>2</v>
      </c>
      <c r="G18" s="1"/>
    </row>
    <row r="19" spans="1:7" x14ac:dyDescent="0.25">
      <c r="A19" s="1"/>
      <c r="B19" s="94" t="s">
        <v>22</v>
      </c>
      <c r="C19" s="95"/>
      <c r="D19" s="95"/>
      <c r="E19" s="95"/>
      <c r="F19" s="96"/>
      <c r="G19" s="1"/>
    </row>
    <row r="20" spans="1:7" ht="15" customHeight="1" x14ac:dyDescent="0.25">
      <c r="A20" s="1"/>
      <c r="B20" s="46" t="s">
        <v>22</v>
      </c>
      <c r="C20" s="11">
        <f>'Fane 4. Ikke-påvirkelige omk.'!E16*(1+Prisudvikling2019)</f>
        <v>4897429.6917632995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4897429.6917632995</v>
      </c>
      <c r="D22" s="18" t="s">
        <v>2</v>
      </c>
      <c r="E22" s="17">
        <f>C22</f>
        <v>4897429.6917632995</v>
      </c>
      <c r="F22" s="18" t="s">
        <v>2</v>
      </c>
      <c r="G22" s="1"/>
    </row>
    <row r="23" spans="1:7" x14ac:dyDescent="0.25">
      <c r="A23" s="1"/>
      <c r="B23" s="94" t="s">
        <v>15</v>
      </c>
      <c r="C23" s="95"/>
      <c r="D23" s="95"/>
      <c r="E23" s="95"/>
      <c r="F23" s="96"/>
      <c r="G23" s="1"/>
    </row>
    <row r="24" spans="1:7" ht="15" customHeight="1" x14ac:dyDescent="0.25">
      <c r="A24" s="1"/>
      <c r="B24" s="29" t="s">
        <v>24</v>
      </c>
      <c r="C24" s="17">
        <f>IF('Fane 6. Hist. over el. underdæk'!G12&gt;1,'Fane 6. Hist. over el. underdæk'!G13,0)</f>
        <v>-467884.5</v>
      </c>
      <c r="D24" s="18" t="s">
        <v>2</v>
      </c>
      <c r="E24" s="17">
        <f>C24</f>
        <v>-467884.5</v>
      </c>
      <c r="F24" s="18" t="s">
        <v>2</v>
      </c>
      <c r="G24" s="1"/>
    </row>
    <row r="25" spans="1:7" x14ac:dyDescent="0.25">
      <c r="A25" s="1"/>
      <c r="B25" s="94" t="s">
        <v>116</v>
      </c>
      <c r="C25" s="95"/>
      <c r="D25" s="95"/>
      <c r="E25" s="95"/>
      <c r="F25" s="96"/>
      <c r="G25" s="1"/>
    </row>
    <row r="26" spans="1:7" ht="15" customHeight="1" x14ac:dyDescent="0.25">
      <c r="A26" s="1"/>
      <c r="B26" s="29" t="s">
        <v>108</v>
      </c>
      <c r="C26" s="17">
        <f>'Fane 7. Kontrol af ØR2017'!G22</f>
        <v>0</v>
      </c>
      <c r="D26" s="18" t="s">
        <v>2</v>
      </c>
      <c r="E26" s="17">
        <f>C26</f>
        <v>0</v>
      </c>
      <c r="F26" s="18" t="s">
        <v>2</v>
      </c>
      <c r="G26" s="1"/>
    </row>
    <row r="27" spans="1:7" x14ac:dyDescent="0.25">
      <c r="A27" s="1"/>
      <c r="B27" s="39" t="s">
        <v>56</v>
      </c>
      <c r="C27" s="40"/>
      <c r="D27" s="41"/>
      <c r="E27" s="20">
        <f>SUM(E14,E18,E22,E24,E26)</f>
        <v>65433040.199684754</v>
      </c>
      <c r="F27" s="21" t="s">
        <v>2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7">
    <mergeCell ref="B3:F4"/>
    <mergeCell ref="B5:F5"/>
    <mergeCell ref="B25:F25"/>
    <mergeCell ref="B23:F23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91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3" t="s">
        <v>43</v>
      </c>
      <c r="C5" s="93"/>
      <c r="D5" s="93"/>
      <c r="E5" s="93"/>
      <c r="F5" s="9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5" t="s">
        <v>57</v>
      </c>
      <c r="C9" s="7">
        <f>'Fane 2.2. Økonomisk ramme 2020'!E14</f>
        <v>59410175.255550936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C9*Prisudvikling2019</f>
        <v>1004031.9618188107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-137259.32425688088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(('Fane 2.2. Økonomisk ramme 2020'!C12/GenereltKravDrift2019-'Fane 2.2. Økonomisk ramme 2020'!C12)*(1+Prisudvikling2019)*GenereltKravDrift2019)</f>
        <v>-475162.05163437943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6" t="s">
        <v>62</v>
      </c>
      <c r="C13" s="11">
        <f>(('Fane 2.2. Økonomisk ramme 2020'!C13/GenereltKravAnlæg2019-'Fane 2.2. Økonomisk ramme 2020'!C13)*(1+Prisudvikling2019)*GenereltKravAnlæg2019)</f>
        <v>-323128.85373945575</v>
      </c>
      <c r="D13" s="8" t="s">
        <v>2</v>
      </c>
      <c r="E13" s="15"/>
      <c r="F13" s="16"/>
      <c r="G13" s="1"/>
    </row>
    <row r="14" spans="1:7" x14ac:dyDescent="0.25">
      <c r="A14" s="1"/>
      <c r="B14" s="47" t="s">
        <v>40</v>
      </c>
      <c r="C14" s="17">
        <f>SUM(C9:C13)</f>
        <v>59478656.987739034</v>
      </c>
      <c r="D14" s="18" t="s">
        <v>2</v>
      </c>
      <c r="E14" s="17">
        <f>C14</f>
        <v>59478656.987739034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6" t="s">
        <v>133</v>
      </c>
      <c r="C16" s="11">
        <v>1752456.6105821196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-39030.662736284401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1713425.9478458352</v>
      </c>
      <c r="D18" s="18" t="s">
        <v>2</v>
      </c>
      <c r="E18" s="17">
        <f>C18</f>
        <v>1713425.9478458352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22</v>
      </c>
      <c r="C20" s="11">
        <f>'Fane 4. Ikke-påvirkelige omk.'!E16*(1+Prisudvikling2019)^2</f>
        <v>4980196.2535540983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4980196.2535540983</v>
      </c>
      <c r="D22" s="18" t="s">
        <v>2</v>
      </c>
      <c r="E22" s="17">
        <f>C22</f>
        <v>4980196.2535540983</v>
      </c>
      <c r="F22" s="18" t="s">
        <v>2</v>
      </c>
      <c r="G22" s="1"/>
    </row>
    <row r="23" spans="1:7" ht="15" customHeight="1" x14ac:dyDescent="0.25">
      <c r="A23" s="1"/>
      <c r="B23" s="39" t="s">
        <v>116</v>
      </c>
      <c r="C23" s="40"/>
      <c r="D23" s="40"/>
      <c r="E23" s="40"/>
      <c r="F23" s="41"/>
      <c r="G23" s="1"/>
    </row>
    <row r="24" spans="1:7" ht="15" customHeight="1" x14ac:dyDescent="0.25">
      <c r="A24" s="1"/>
      <c r="B24" s="29" t="s">
        <v>108</v>
      </c>
      <c r="C24" s="17">
        <f>'Fane 2.2. Økonomisk ramme 2020'!C26*(1+Prisudvikling2019)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39" t="s">
        <v>68</v>
      </c>
      <c r="C25" s="40"/>
      <c r="D25" s="41"/>
      <c r="E25" s="20">
        <f>SUM(E14,E18,E22,E24)</f>
        <v>66172279.189138971</v>
      </c>
      <c r="F25" s="21" t="s">
        <v>2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92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3" t="s">
        <v>43</v>
      </c>
      <c r="C5" s="93"/>
      <c r="D5" s="93"/>
      <c r="E5" s="93"/>
      <c r="F5" s="9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2021'!E14</f>
        <v>59478656.987739034</v>
      </c>
      <c r="D8" s="8" t="s">
        <v>2</v>
      </c>
      <c r="E8" s="9"/>
      <c r="F8" s="10"/>
      <c r="G8" s="1"/>
    </row>
    <row r="9" spans="1:7" ht="15" customHeight="1" x14ac:dyDescent="0.25">
      <c r="A9" s="1"/>
      <c r="B9" s="46" t="s">
        <v>37</v>
      </c>
      <c r="C9" s="11">
        <f>C8*Prisudvikling2019</f>
        <v>1005189.3030927896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6" t="s">
        <v>13</v>
      </c>
      <c r="C10" s="11">
        <f>-SUM(C8:C9)*IndividueltKrav</f>
        <v>-137417.54220933843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61</v>
      </c>
      <c r="C11" s="11">
        <f>('Fane 2.3. Økonomisk ramme 2021'!C12/GenereltKravDrift2019-'Fane 2.3. Økonomisk ramme 2021'!C12)*(1+Prisudvikling2019)*GenereltKravDrift2019</f>
        <v>-473528.44450086035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2021'!C13/GenereltKravAnlæg2019-'Fane 2.3. Økonomisk ramme 2021'!C13)*(1+Prisudvikling2019)*GenereltKravAnlæg2019</f>
        <v>-325731.00070475397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59547169.303416871</v>
      </c>
      <c r="D13" s="18" t="s">
        <v>2</v>
      </c>
      <c r="E13" s="17">
        <f>C13</f>
        <v>59547169.303416871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6" t="s">
        <v>133</v>
      </c>
      <c r="C15" s="11">
        <v>1722477.4346626096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76</v>
      </c>
      <c r="C16" s="11">
        <f>-(C15*(GenereltKravDrift2019+IndividueltKrav))</f>
        <v>-38362.967400856127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1684114.4672617535</v>
      </c>
      <c r="D17" s="18" t="s">
        <v>2</v>
      </c>
      <c r="E17" s="17">
        <f>C17</f>
        <v>1684114.4672617535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omk.'!E16*(1+Prisudvikling2019)^3</f>
        <v>5064361.5702391621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29" t="s">
        <v>80</v>
      </c>
      <c r="C21" s="17">
        <f>SUM(C19:C20)</f>
        <v>5064361.5702391621</v>
      </c>
      <c r="D21" s="18" t="s">
        <v>2</v>
      </c>
      <c r="E21" s="17">
        <f>C21</f>
        <v>5064361.5702391621</v>
      </c>
      <c r="F21" s="18" t="s">
        <v>2</v>
      </c>
      <c r="G21" s="1"/>
    </row>
    <row r="22" spans="1:7" x14ac:dyDescent="0.25">
      <c r="A22" s="1"/>
      <c r="B22" s="39" t="s">
        <v>78</v>
      </c>
      <c r="C22" s="40"/>
      <c r="D22" s="41"/>
      <c r="E22" s="20">
        <f>SUM(E13,E17,E21)</f>
        <v>66295645.340917788</v>
      </c>
      <c r="F22" s="21" t="s">
        <v>2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7" t="s">
        <v>93</v>
      </c>
      <c r="C3" s="97"/>
      <c r="D3" s="97"/>
      <c r="E3" s="97"/>
      <c r="F3" s="97"/>
      <c r="G3" s="97"/>
      <c r="H3" s="97"/>
      <c r="I3" s="1"/>
    </row>
    <row r="4" spans="1:9" ht="29.25" customHeight="1" x14ac:dyDescent="0.25">
      <c r="A4" s="1"/>
      <c r="B4" s="97"/>
      <c r="C4" s="97"/>
      <c r="D4" s="97"/>
      <c r="E4" s="97"/>
      <c r="F4" s="97"/>
      <c r="G4" s="97"/>
      <c r="H4" s="9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64300629.114895575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1491052.6551807146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3297017.372503974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1525017.8075000001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59512559.087210886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102</v>
      </c>
      <c r="C3" s="92"/>
      <c r="D3" s="92"/>
      <c r="E3" s="92"/>
      <c r="F3" s="92"/>
      <c r="G3" s="1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111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63" t="s">
        <v>137</v>
      </c>
      <c r="C10" s="64"/>
      <c r="D10" s="65"/>
      <c r="E10" s="11">
        <v>2118357</v>
      </c>
      <c r="F10" s="22" t="s">
        <v>2</v>
      </c>
      <c r="G10" s="1"/>
      <c r="H10" s="1"/>
    </row>
    <row r="11" spans="1:8" x14ac:dyDescent="0.25">
      <c r="A11" s="1"/>
      <c r="B11" s="63" t="s">
        <v>138</v>
      </c>
      <c r="C11" s="64"/>
      <c r="D11" s="65"/>
      <c r="E11" s="11">
        <v>43504</v>
      </c>
      <c r="F11" s="22" t="s">
        <v>2</v>
      </c>
      <c r="G11" s="1"/>
      <c r="H11" s="1"/>
    </row>
    <row r="12" spans="1:8" ht="30" customHeight="1" x14ac:dyDescent="0.25">
      <c r="A12" s="1"/>
      <c r="B12" s="98" t="s">
        <v>139</v>
      </c>
      <c r="C12" s="99"/>
      <c r="D12" s="100"/>
      <c r="E12" s="11">
        <v>355427</v>
      </c>
      <c r="F12" s="22" t="s">
        <v>2</v>
      </c>
      <c r="G12" s="1"/>
      <c r="H12" s="1"/>
    </row>
    <row r="13" spans="1:8" x14ac:dyDescent="0.25">
      <c r="A13" s="1"/>
      <c r="B13" s="63" t="s">
        <v>140</v>
      </c>
      <c r="C13" s="64"/>
      <c r="D13" s="65"/>
      <c r="E13" s="11">
        <v>178652</v>
      </c>
      <c r="F13" s="22" t="s">
        <v>2</v>
      </c>
      <c r="G13" s="1"/>
      <c r="H13" s="1"/>
    </row>
    <row r="14" spans="1:8" x14ac:dyDescent="0.25">
      <c r="A14" s="1"/>
      <c r="B14" s="63" t="s">
        <v>141</v>
      </c>
      <c r="C14" s="64"/>
      <c r="D14" s="65"/>
      <c r="E14" s="11">
        <v>1961352</v>
      </c>
      <c r="F14" s="22" t="s">
        <v>2</v>
      </c>
      <c r="G14" s="1"/>
      <c r="H14" s="1"/>
    </row>
    <row r="15" spans="1:8" x14ac:dyDescent="0.25">
      <c r="A15" s="1"/>
      <c r="B15" s="94" t="s">
        <v>128</v>
      </c>
      <c r="C15" s="95"/>
      <c r="D15" s="96"/>
      <c r="E15" s="20">
        <f>SUM(E10:E14)</f>
        <v>4657292</v>
      </c>
      <c r="F15" s="21" t="s">
        <v>2</v>
      </c>
      <c r="G15" s="1"/>
      <c r="H15" s="1"/>
    </row>
    <row r="16" spans="1:8" x14ac:dyDescent="0.25">
      <c r="A16" s="1"/>
      <c r="B16" s="94" t="s">
        <v>129</v>
      </c>
      <c r="C16" s="95"/>
      <c r="D16" s="96"/>
      <c r="E16" s="20">
        <f>E15*(1+Prisudvikling2019)^2</f>
        <v>4816038.6387681188</v>
      </c>
      <c r="F16" s="21" t="s">
        <v>2</v>
      </c>
      <c r="G16" s="1"/>
      <c r="H16" s="1"/>
    </row>
    <row r="17" spans="1:8" x14ac:dyDescent="0.25">
      <c r="A17" s="1"/>
      <c r="B17" s="24"/>
      <c r="C17" s="23"/>
      <c r="D17" s="23"/>
      <c r="E17" s="23"/>
      <c r="F17" s="23"/>
      <c r="G17" s="1"/>
      <c r="H17" s="1"/>
    </row>
    <row r="18" spans="1:8" x14ac:dyDescent="0.25">
      <c r="A18" s="1"/>
      <c r="B18" s="23"/>
      <c r="C18" s="23"/>
      <c r="D18" s="23"/>
      <c r="E18" s="23"/>
      <c r="F18" s="23"/>
      <c r="G18" s="1"/>
      <c r="H18" s="1"/>
    </row>
    <row r="19" spans="1:8" x14ac:dyDescent="0.25">
      <c r="A19" s="1"/>
      <c r="B19" s="1"/>
      <c r="C19" s="1"/>
      <c r="D19" s="1"/>
      <c r="E19" s="23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</row>
  </sheetData>
  <sheetProtection password="DFE9" sheet="1" objects="1" scenarios="1"/>
  <mergeCells count="4">
    <mergeCell ref="B3:F4"/>
    <mergeCell ref="B15:D15"/>
    <mergeCell ref="B16:D16"/>
    <mergeCell ref="B12:D12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120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82</v>
      </c>
      <c r="C9" s="43"/>
      <c r="D9" s="43"/>
      <c r="E9" s="43"/>
      <c r="F9" s="44"/>
      <c r="G9" s="56">
        <v>510936.47382764856</v>
      </c>
      <c r="H9" s="22" t="s">
        <v>2</v>
      </c>
      <c r="I9" s="1"/>
    </row>
    <row r="10" spans="1:9" x14ac:dyDescent="0.25">
      <c r="A10" s="1"/>
      <c r="B10" s="42" t="s">
        <v>83</v>
      </c>
      <c r="C10" s="43"/>
      <c r="D10" s="43"/>
      <c r="E10" s="43"/>
      <c r="F10" s="44"/>
      <c r="G10" s="56">
        <f>G9/GenereltKravDrift2018</f>
        <v>25546823.691382427</v>
      </c>
      <c r="H10" s="22" t="s">
        <v>2</v>
      </c>
      <c r="I10" s="1"/>
    </row>
    <row r="11" spans="1:9" x14ac:dyDescent="0.25">
      <c r="A11" s="1"/>
      <c r="B11" s="42" t="s">
        <v>84</v>
      </c>
      <c r="C11" s="43"/>
      <c r="D11" s="43"/>
      <c r="E11" s="43"/>
      <c r="F11" s="44"/>
      <c r="G11" s="56">
        <v>652705.02338645933</v>
      </c>
      <c r="H11" s="22" t="s">
        <v>2</v>
      </c>
      <c r="I11" s="1"/>
    </row>
    <row r="12" spans="1:9" x14ac:dyDescent="0.25">
      <c r="A12" s="1"/>
      <c r="B12" s="42" t="s">
        <v>85</v>
      </c>
      <c r="C12" s="43"/>
      <c r="D12" s="43"/>
      <c r="E12" s="43"/>
      <c r="F12" s="44"/>
      <c r="G12" s="56">
        <f>G11/GenereltKravAnlæg2018</f>
        <v>36875990.021833859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101" t="s">
        <v>87</v>
      </c>
      <c r="C17" s="102"/>
      <c r="D17" s="102"/>
      <c r="E17" s="102"/>
      <c r="F17" s="103"/>
      <c r="G17" s="57">
        <v>0.02</v>
      </c>
      <c r="H17" s="22"/>
      <c r="I17" s="1"/>
    </row>
    <row r="18" spans="1:9" x14ac:dyDescent="0.25">
      <c r="A18" s="1"/>
      <c r="B18" s="101" t="s">
        <v>86</v>
      </c>
      <c r="C18" s="102"/>
      <c r="D18" s="102"/>
      <c r="E18" s="102"/>
      <c r="F18" s="103"/>
      <c r="G18" s="57">
        <v>0.02</v>
      </c>
      <c r="H18" s="22"/>
      <c r="I18" s="1"/>
    </row>
    <row r="19" spans="1:9" x14ac:dyDescent="0.25">
      <c r="A19" s="1"/>
      <c r="B19" s="101" t="s">
        <v>88</v>
      </c>
      <c r="C19" s="102"/>
      <c r="D19" s="102"/>
      <c r="E19" s="102"/>
      <c r="F19" s="103"/>
      <c r="G19" s="57">
        <v>1.77E-2</v>
      </c>
      <c r="H19" s="22"/>
      <c r="I19" s="1"/>
    </row>
    <row r="20" spans="1:9" x14ac:dyDescent="0.25">
      <c r="A20" s="1"/>
      <c r="B20" s="101" t="s">
        <v>132</v>
      </c>
      <c r="C20" s="102"/>
      <c r="D20" s="102"/>
      <c r="E20" s="102"/>
      <c r="F20" s="103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125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-3040297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-2104528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-935769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2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-467884.5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2018-10-04T09:19:19Z</dcterms:modified>
</cp:coreProperties>
</file>