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Drikkevand\HOFOR Vand København AS (V091)\ØR2025\"/>
    </mc:Choice>
  </mc:AlternateContent>
  <xr:revisionPtr revIDLastSave="0" documentId="13_ncr:1_{29196A82-64AD-4ACD-AC26-9527B56DEB24}" xr6:coauthVersionLast="36" xr6:coauthVersionMax="36" xr10:uidLastSave="{00000000-0000-0000-0000-000000000000}"/>
  <bookViews>
    <workbookView xWindow="3105"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2025'!$B$8:$D$35</definedName>
    <definedName name="Fane21total">'Fane 2.1. Økonomisk ramme 2025'!$C$35</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ØR2024'!$C$35</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2025'!$B$8:$D$36</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ØR2024'!$C$35</definedName>
    <definedName name="ØR25total">'Fane 2.1. Økonomisk ramme 2025'!$C$35</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19" i="39" l="1"/>
  <c r="C20" i="39" s="1"/>
  <c r="C24" i="41" l="1"/>
  <c r="F10" i="11" l="1"/>
  <c r="F11" i="11" s="1"/>
  <c r="C11" i="29"/>
  <c r="C12" i="29" l="1"/>
  <c r="E11" i="29" l="1"/>
  <c r="C10" i="36" l="1"/>
  <c r="C10" i="30"/>
  <c r="C20" i="43" l="1"/>
  <c r="E12" i="29" l="1"/>
  <c r="C16" i="41" l="1"/>
  <c r="C15" i="41"/>
  <c r="C17" i="41" l="1"/>
  <c r="C28" i="41" s="1"/>
  <c r="C30" i="41" s="1"/>
  <c r="C18" i="23" l="1"/>
  <c r="C20" i="15"/>
  <c r="C32" i="2"/>
  <c r="E19" i="39" l="1"/>
  <c r="E20" i="39" s="1"/>
  <c r="J11" i="11" l="1"/>
  <c r="E10" i="37" s="1"/>
  <c r="H11" i="11"/>
  <c r="C10" i="37" s="1"/>
  <c r="C18" i="15" l="1"/>
  <c r="C30" i="2"/>
  <c r="C18" i="40" l="1"/>
  <c r="C19" i="19" l="1"/>
  <c r="C20" i="19" s="1"/>
  <c r="C16" i="43" l="1"/>
  <c r="C16" i="23"/>
  <c r="C16" i="15"/>
  <c r="C15" i="2"/>
  <c r="E41" i="37"/>
  <c r="E42" i="37" s="1"/>
  <c r="C41" i="37"/>
  <c r="C42" i="37" s="1"/>
  <c r="C24" i="2" l="1"/>
  <c r="C26" i="2" s="1"/>
  <c r="C11" i="2" l="1"/>
  <c r="E11" i="21"/>
  <c r="E12" i="21" s="1"/>
  <c r="C11" i="21"/>
  <c r="C12" i="21" s="1"/>
  <c r="C12" i="2" l="1"/>
  <c r="C13" i="2"/>
  <c r="C16" i="36" s="1"/>
  <c r="C25" i="2" l="1"/>
  <c r="C27" i="2" s="1"/>
  <c r="C28" i="2" l="1"/>
  <c r="C10" i="2" l="1"/>
  <c r="C14" i="2"/>
  <c r="C16" i="30" l="1"/>
  <c r="C22" i="2"/>
  <c r="C11" i="30" l="1"/>
  <c r="C15" i="30" s="1"/>
  <c r="C17" i="30" l="1"/>
  <c r="C18" i="2" s="1"/>
  <c r="C9" i="2" l="1"/>
  <c r="C16" i="2" s="1"/>
  <c r="C21" i="30"/>
  <c r="C11" i="36"/>
  <c r="C15" i="36" s="1"/>
  <c r="C17" i="2" l="1"/>
  <c r="C17" i="36"/>
  <c r="C19" i="2" s="1"/>
  <c r="C20" i="2" l="1"/>
  <c r="C35"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<sst xmlns="http://schemas.openxmlformats.org/spreadsheetml/2006/main" count="542" uniqueCount="242">
  <si>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</si>
  <si>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</si>
  <si>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</si>
  <si>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</si>
  <si>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</si>
  <si>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</si>
  <si>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</si>
  <si>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</si>
  <si>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</si>
  <si>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</si>
  <si>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</si>
  <si>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</si>
  <si>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</si>
  <si>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</si>
  <si>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</si>
  <si>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</si>
  <si>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</si>
  <si>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</si>
  <si>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</si>
  <si>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</si>
  <si>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</si>
  <si>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</si>
  <si>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</si>
  <si>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</si>
  <si>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</si>
  <si>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</si>
  <si>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</si>
  <si>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</si>
  <si>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</si>
  <si>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</si>
  <si>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</si>
  <si>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</si>
  <si>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</si>
  <si>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</si>
  <si>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</si>
  <si>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</si>
  <si>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</si>
  <si>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</si>
  <si>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</si>
  <si>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</si>
  <si>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</si>
  <si>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</si>
  <si>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</si>
  <si>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</si>
  <si>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</si>
  <si>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</si>
  <si>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</si>
  <si>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</si>
  <si>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</si>
  <si>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</si>
  <si>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</si>
  <si>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</si>
  <si>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</si>
  <si>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</si>
  <si>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</si>
  <si>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</si>
  <si>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</si>
  <si>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</si>
  <si>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</si>
  <si>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</si>
  <si>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</si>
  <si>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</si>
  <si>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</si>
  <si>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</si>
  <si>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</si>
  <si>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</si>
  <si>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</si>
  <si>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</si>
  <si>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</si>
  <si>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</si>
  <si>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</si>
  <si>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</si>
  <si>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</si>
  <si>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</si>
  <si>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</si>
  <si>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</si>
  <si>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</si>
  <si>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</si>
  <si>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</si>
  <si>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</si>
  <si>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</si>
  <si>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</si>
  <si>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</si>
  <si>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</si>
  <si>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</si>
  <si>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</si>
  <si>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</si>
  <si>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</si>
  <si>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</si>
  <si>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</si>
  <si>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</si>
  <si>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</si>
  <si>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</si>
  <si>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</si>
  <si>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</si>
  <si>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</si>
  <si>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</si>
  <si>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</si>
  <si>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</si>
  <si>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</si>
  <si>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</si>
  <si>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</si>
  <si>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</si>
  <si>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</si>
  <si>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</si>
  <si>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</si>
  <si>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</si>
  <si>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</si>
  <si>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</si>
  <si>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</si>
  <si>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</si>
  <si>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</si>
  <si>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</si>
  <si>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</si>
  <si>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</si>
  <si>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</si>
  <si>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</si>
  <si>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</si>
  <si>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</si>
  <si>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</si>
  <si>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</si>
  <si>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</si>
  <si>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</si>
  <si>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</si>
  <si>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</si>
  <si>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</si>
  <si>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</si>
  <si>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</si>
  <si>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</si>
  <si>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</si>
  <si>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</si>
  <si>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</si>
  <si>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</si>
  <si>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</si>
  <si>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</si>
  <si>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</si>
  <si>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</si>
  <si>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</si>
  <si>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</si>
  <si>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</si>
  <si>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</si>
  <si>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</si>
  <si>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</si>
  <si>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</si>
  <si>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</si>
  <si>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</si>
  <si>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</si>
  <si>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</si>
  <si>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</si>
  <si>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</si>
  <si>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</si>
  <si>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</si>
  <si>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</si>
  <si>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</si>
  <si>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</si>
  <si>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</si>
  <si>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</si>
  <si>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</si>
  <si>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</si>
  <si>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</si>
  <si>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</si>
  <si>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</si>
  <si>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</si>
  <si>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</si>
  <si>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</si>
  <si>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</si>
  <si>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</si>
  <si>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</si>
  <si>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</si>
  <si>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</si>
  <si>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</si>
  <si>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</si>
  <si>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</si>
  <si>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</si>
  <si>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</si>
  <si>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</si>
  <si>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</si>
  <si>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</si>
  <si>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</si>
  <si>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</si>
  <si>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</si>
  <si>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</si>
  <si>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</si>
  <si>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</si>
  <si>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</si>
  <si>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</si>
  <si>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</si>
  <si>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</si>
  <si>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</si>
  <si>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</si>
  <si>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</si>
  <si>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</si>
  <si>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</si>
  <si>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</si>
  <si>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Effektiviseringskrav (generelt og individuelt) - Drift</t>
  </si>
  <si>
    <t>Effektiviseringskrav (generelt og individuelt) - Anlæg</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</si>
  <si>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</si>
  <si>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</si>
  <si>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</si>
  <si>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</si>
  <si>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Blødgøringsomkostninger</t>
  </si>
  <si>
    <t>Fjernaflæste målere</t>
  </si>
  <si>
    <t>Lovliggørelse af Marup boringen</t>
  </si>
  <si>
    <t>Prags Boulevard</t>
  </si>
  <si>
    <t>Amager Strandvej</t>
  </si>
  <si>
    <t>Banevingen</t>
  </si>
  <si>
    <t>Bellidavej</t>
  </si>
  <si>
    <t>Borgmester Christiansenvej</t>
  </si>
  <si>
    <t>Englandsvej</t>
  </si>
  <si>
    <t>Folke Bernadottes alle</t>
  </si>
  <si>
    <t>Gamle Carlsbergvej</t>
  </si>
  <si>
    <t>Metrovej 11</t>
  </si>
  <si>
    <t>Midterfløjene</t>
  </si>
  <si>
    <t>Mozarts plads</t>
  </si>
  <si>
    <t>Ny Ellebjergvej</t>
  </si>
  <si>
    <t>Sluseholmen 3</t>
  </si>
  <si>
    <t>Speditørvej</t>
  </si>
  <si>
    <t>Sundevedsgade</t>
  </si>
  <si>
    <t>Sundholmsvej 50</t>
  </si>
  <si>
    <t>Sundkrogsgade</t>
  </si>
  <si>
    <t>Tromsøgade Frederikskaj</t>
  </si>
  <si>
    <t>Øget antal indbyggere</t>
  </si>
  <si>
    <t>Ørestads Boulevard 126</t>
  </si>
  <si>
    <t>Krav i indvindingstilladelser</t>
  </si>
  <si>
    <t>Naturforhold i indvindingstilladelser</t>
  </si>
  <si>
    <t>Regenerering af dykpumper</t>
  </si>
  <si>
    <t xml:space="preserve">Sløjfning af boring 10 </t>
  </si>
  <si>
    <t>Sløjfning af boring Søndersø</t>
  </si>
  <si>
    <t>Afgift for ledningsført vand</t>
  </si>
  <si>
    <t>Afgift til Forsyningssekretariatet</t>
  </si>
  <si>
    <t>Køb af ydelser og produkter fra andre vandselskaber reguleret af vandsektorloven</t>
  </si>
  <si>
    <t>Ejendomsskatter</t>
  </si>
  <si>
    <t>Frivillige aftaler om dyrkningspraksis eller andre restriktioner i arealanvendelse</t>
  </si>
  <si>
    <t>Undersøgelsesudgifter i forbindelse med fusion</t>
  </si>
  <si>
    <t>BNBO Højby Kærvej 1 </t>
  </si>
  <si>
    <t>BNBO Højbyvej 20</t>
  </si>
  <si>
    <t>BNBO Hørup skovvej 3a</t>
  </si>
  <si>
    <t>BNBO Jonstrupvang</t>
  </si>
  <si>
    <t>BNBO Orøhøjvej </t>
  </si>
  <si>
    <t xml:space="preserve">BNBO Strøvej 88 </t>
  </si>
  <si>
    <t> Engangsdriftomk.583.150</t>
  </si>
  <si>
    <t>BNBO Thorsbrovej 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</si>
</sst>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0" fontId="8" fillId="8" borderId="4" xfId="0" applyFont="1" applyFill="1" applyBorder="1" applyAlignment="1" applyProtection="1">
      <alignment horizontal="left" wrapText="1"/>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2"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28515625" style="2" customWidth="1"/>
    <col min="4" max="4" width="11.7109375" style="2" customWidth="1"/>
    <col min="5" max="5" width="11.5703125" style="2" customWidth="1"/>
    <col min="6" max="6" width="9.28515625" style="2" customWidth="1"/>
    <col min="7" max="7" width="21.5703125" style="2" customWidth="1"/>
    <col min="8"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1"/>
    </row>
    <row r="7" spans="1:7" ht="15" customHeight="1" x14ac:dyDescent="0.25">
      <c r="A7" s="1"/>
      <c r="B7" s="3"/>
      <c r="C7" s="79"/>
      <c r="D7" s="79"/>
      <c r="E7" s="79"/>
      <c r="F7" s="79"/>
      <c r="G7" s="1"/>
    </row>
    <row r="8" spans="1:7" ht="15.75" x14ac:dyDescent="0.25">
      <c r="A8" s="1"/>
      <c r="B8" s="4"/>
      <c r="C8" s="84" t="s">
        <v>199</v>
      </c>
      <c r="D8" s="84"/>
      <c r="E8" s="84"/>
      <c r="F8" s="84"/>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3" t="s">
        <v>5</v>
      </c>
      <c r="D11" s="83"/>
      <c r="E11" s="83"/>
      <c r="F11" s="83"/>
      <c r="G11" s="1"/>
    </row>
    <row r="12" spans="1:7" x14ac:dyDescent="0.25">
      <c r="A12" s="1"/>
      <c r="B12" s="1"/>
      <c r="C12" s="1"/>
      <c r="D12" s="1"/>
      <c r="E12" s="1"/>
      <c r="F12" s="1"/>
      <c r="G12" s="1"/>
    </row>
    <row r="13" spans="1:7" x14ac:dyDescent="0.25">
      <c r="A13" s="1"/>
      <c r="B13" s="6" t="s">
        <v>6</v>
      </c>
      <c r="C13" s="76" t="s">
        <v>124</v>
      </c>
      <c r="D13" s="77"/>
      <c r="E13" s="77"/>
      <c r="F13" s="78"/>
      <c r="G13" s="1"/>
    </row>
    <row r="14" spans="1:7" x14ac:dyDescent="0.25">
      <c r="A14" s="1"/>
      <c r="B14" s="6" t="s">
        <v>14</v>
      </c>
      <c r="C14" s="76" t="s">
        <v>158</v>
      </c>
      <c r="D14" s="77"/>
      <c r="E14" s="77"/>
      <c r="F14" s="78"/>
      <c r="G14" s="1"/>
    </row>
    <row r="15" spans="1:7" x14ac:dyDescent="0.25">
      <c r="A15" s="1"/>
      <c r="B15" s="6" t="s">
        <v>29</v>
      </c>
      <c r="C15" s="76" t="s">
        <v>107</v>
      </c>
      <c r="D15" s="77"/>
      <c r="E15" s="77"/>
      <c r="F15" s="78"/>
      <c r="G15" s="1"/>
    </row>
    <row r="16" spans="1:7" x14ac:dyDescent="0.25">
      <c r="A16" s="1"/>
      <c r="B16" s="6" t="s">
        <v>30</v>
      </c>
      <c r="C16" s="76" t="s">
        <v>125</v>
      </c>
      <c r="D16" s="77"/>
      <c r="E16" s="77"/>
      <c r="F16" s="78"/>
      <c r="G16" s="1"/>
    </row>
    <row r="17" spans="1:7" x14ac:dyDescent="0.25">
      <c r="A17" s="1"/>
      <c r="B17" s="6" t="s">
        <v>57</v>
      </c>
      <c r="C17" s="76" t="s">
        <v>126</v>
      </c>
      <c r="D17" s="77"/>
      <c r="E17" s="77"/>
      <c r="F17" s="78"/>
      <c r="G17" s="1"/>
    </row>
    <row r="18" spans="1:7" x14ac:dyDescent="0.25">
      <c r="A18" s="1"/>
      <c r="B18" s="6" t="s">
        <v>49</v>
      </c>
      <c r="C18" s="85" t="s">
        <v>42</v>
      </c>
      <c r="D18" s="86"/>
      <c r="E18" s="86"/>
      <c r="F18" s="87"/>
      <c r="G18" s="1"/>
    </row>
    <row r="19" spans="1:7" x14ac:dyDescent="0.25">
      <c r="A19" s="1"/>
      <c r="B19" s="6" t="s">
        <v>50</v>
      </c>
      <c r="C19" s="85" t="s">
        <v>43</v>
      </c>
      <c r="D19" s="86"/>
      <c r="E19" s="86"/>
      <c r="F19" s="87"/>
      <c r="G19" s="1"/>
    </row>
    <row r="20" spans="1:7" x14ac:dyDescent="0.25">
      <c r="A20" s="1"/>
      <c r="B20" s="6" t="s">
        <v>7</v>
      </c>
      <c r="C20" s="85" t="s">
        <v>9</v>
      </c>
      <c r="D20" s="86"/>
      <c r="E20" s="86"/>
      <c r="F20" s="87"/>
      <c r="G20" s="1"/>
    </row>
    <row r="21" spans="1:7" x14ac:dyDescent="0.25">
      <c r="A21" s="1"/>
      <c r="B21" s="6" t="s">
        <v>51</v>
      </c>
      <c r="C21" s="91" t="s">
        <v>11</v>
      </c>
      <c r="D21" s="92"/>
      <c r="E21" s="92"/>
      <c r="F21" s="93"/>
      <c r="G21" s="1"/>
    </row>
    <row r="22" spans="1:7" x14ac:dyDescent="0.25">
      <c r="A22" s="1"/>
      <c r="B22" s="6" t="s">
        <v>37</v>
      </c>
      <c r="C22" s="80" t="s">
        <v>127</v>
      </c>
      <c r="D22" s="81"/>
      <c r="E22" s="81"/>
      <c r="F22" s="82"/>
      <c r="G22" s="1"/>
    </row>
    <row r="23" spans="1:7" x14ac:dyDescent="0.25">
      <c r="A23" s="1"/>
      <c r="B23" s="6" t="s">
        <v>8</v>
      </c>
      <c r="C23" s="80" t="s">
        <v>89</v>
      </c>
      <c r="D23" s="81"/>
      <c r="E23" s="81"/>
      <c r="F23" s="82"/>
      <c r="G23" s="1"/>
    </row>
    <row r="24" spans="1:7" x14ac:dyDescent="0.25">
      <c r="A24" s="1"/>
      <c r="B24" s="6" t="s">
        <v>85</v>
      </c>
      <c r="C24" s="80" t="s">
        <v>78</v>
      </c>
      <c r="D24" s="81"/>
      <c r="E24" s="81"/>
      <c r="F24" s="82"/>
      <c r="G24" s="1"/>
    </row>
    <row r="25" spans="1:7" x14ac:dyDescent="0.25">
      <c r="A25" s="1"/>
      <c r="B25" s="6" t="s">
        <v>86</v>
      </c>
      <c r="C25" s="80" t="s">
        <v>38</v>
      </c>
      <c r="D25" s="81"/>
      <c r="E25" s="81"/>
      <c r="F25" s="82"/>
      <c r="G25" s="1"/>
    </row>
    <row r="26" spans="1:7" x14ac:dyDescent="0.25">
      <c r="A26" s="1"/>
      <c r="B26" s="6" t="s">
        <v>87</v>
      </c>
      <c r="C26" s="80" t="s">
        <v>39</v>
      </c>
      <c r="D26" s="81"/>
      <c r="E26" s="81"/>
      <c r="F26" s="82"/>
      <c r="G26" s="1"/>
    </row>
    <row r="27" spans="1:7" x14ac:dyDescent="0.25">
      <c r="A27" s="1"/>
      <c r="B27" s="6" t="s">
        <v>52</v>
      </c>
      <c r="C27" s="80" t="s">
        <v>58</v>
      </c>
      <c r="D27" s="81"/>
      <c r="E27" s="81"/>
      <c r="F27" s="82"/>
      <c r="G27" s="1"/>
    </row>
    <row r="28" spans="1:7" x14ac:dyDescent="0.25">
      <c r="A28" s="1"/>
      <c r="B28" s="6" t="s">
        <v>46</v>
      </c>
      <c r="C28" s="80" t="s">
        <v>31</v>
      </c>
      <c r="D28" s="81"/>
      <c r="E28" s="81"/>
      <c r="F28" s="82"/>
      <c r="G28" s="1"/>
    </row>
    <row r="29" spans="1:7" x14ac:dyDescent="0.25">
      <c r="A29" s="1"/>
      <c r="B29" s="6" t="s">
        <v>88</v>
      </c>
      <c r="C29" s="88" t="s">
        <v>47</v>
      </c>
      <c r="D29" s="89"/>
      <c r="E29" s="89"/>
      <c r="F29" s="9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KduCR5i5nKvsY3kxyYrVdUQsrsZDX18e7GzlISct5MZVk4LixK519cE2j5UYMDbFgLZHt/KMEgzzT2Pjm5ey/w==" saltValue="b6ZFEw6x46A3FJfbNO9/Vg=="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2" t="s">
        <v>27</v>
      </c>
      <c r="C9" s="45" t="s">
        <v>145</v>
      </c>
      <c r="D9" s="11"/>
      <c r="E9" s="1"/>
    </row>
    <row r="10" spans="1:5" ht="15" customHeight="1" x14ac:dyDescent="0.25">
      <c r="A10" s="1"/>
      <c r="B10" s="65" t="s">
        <v>228</v>
      </c>
      <c r="C10" s="66">
        <v>196904216</v>
      </c>
      <c r="D10" s="14" t="s">
        <v>3</v>
      </c>
      <c r="E10" s="1"/>
    </row>
    <row r="11" spans="1:5" x14ac:dyDescent="0.25">
      <c r="A11" s="1"/>
      <c r="B11" s="65" t="s">
        <v>229</v>
      </c>
      <c r="C11" s="66">
        <v>1182253</v>
      </c>
      <c r="D11" s="14" t="s">
        <v>3</v>
      </c>
      <c r="E11" s="1"/>
    </row>
    <row r="12" spans="1:5" ht="25.5" x14ac:dyDescent="0.25">
      <c r="A12" s="1"/>
      <c r="B12" s="65" t="s">
        <v>230</v>
      </c>
      <c r="C12" s="66">
        <v>4651662</v>
      </c>
      <c r="D12" s="14" t="s">
        <v>3</v>
      </c>
      <c r="E12" s="1"/>
    </row>
    <row r="13" spans="1:5" x14ac:dyDescent="0.25">
      <c r="A13" s="1"/>
      <c r="B13" s="65" t="s">
        <v>231</v>
      </c>
      <c r="C13" s="66">
        <v>2522835</v>
      </c>
      <c r="D13" s="14" t="s">
        <v>3</v>
      </c>
      <c r="E13" s="1"/>
    </row>
    <row r="14" spans="1:5" ht="25.5" x14ac:dyDescent="0.25">
      <c r="A14" s="1"/>
      <c r="B14" s="65" t="s">
        <v>232</v>
      </c>
      <c r="C14" s="7">
        <v>702463</v>
      </c>
      <c r="D14" s="14" t="s">
        <v>3</v>
      </c>
      <c r="E14" s="1"/>
    </row>
    <row r="15" spans="1:5" x14ac:dyDescent="0.25">
      <c r="A15" s="1"/>
      <c r="B15" s="65" t="s">
        <v>233</v>
      </c>
      <c r="C15" s="66">
        <v>5551</v>
      </c>
      <c r="D15" s="14" t="s">
        <v>3</v>
      </c>
      <c r="E15" s="1"/>
    </row>
    <row r="16" spans="1:5" x14ac:dyDescent="0.25">
      <c r="A16" s="1"/>
      <c r="B16" s="65"/>
      <c r="C16" s="66"/>
      <c r="D16" s="14" t="s">
        <v>3</v>
      </c>
      <c r="E16" s="1"/>
    </row>
    <row r="17" spans="1:5" x14ac:dyDescent="0.25">
      <c r="A17" s="1"/>
      <c r="B17" s="65"/>
      <c r="C17" s="66"/>
      <c r="D17" s="14" t="s">
        <v>3</v>
      </c>
      <c r="E17" s="1"/>
    </row>
    <row r="18" spans="1:5" x14ac:dyDescent="0.25">
      <c r="A18" s="1"/>
      <c r="B18" s="65"/>
      <c r="C18" s="66"/>
      <c r="D18" s="14" t="s">
        <v>3</v>
      </c>
      <c r="E18" s="1"/>
    </row>
    <row r="19" spans="1:5" x14ac:dyDescent="0.25">
      <c r="A19" s="1"/>
      <c r="B19" s="53" t="s">
        <v>143</v>
      </c>
      <c r="C19" s="12">
        <f>SUM(C10:C18)</f>
        <v>205968980</v>
      </c>
      <c r="D19" s="13" t="s">
        <v>3</v>
      </c>
      <c r="E19" s="1"/>
    </row>
    <row r="20" spans="1:5" x14ac:dyDescent="0.25">
      <c r="A20" s="1"/>
      <c r="B20" s="53" t="s">
        <v>144</v>
      </c>
      <c r="C20" s="12">
        <f>C19*(1+'Fane 13. Nøgletal'!C11)^2</f>
        <v>234185842.5336962</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AZNFsFEYOM3C/2x5/mCP0PF1SqnIVNqUhLqI8I1ajjUNGy5duwIZ3WqTBE80UV8XFWcXtmLer2YODB+fACt6zA==" saltValue="hheMVMXm8sYXQjX+NPtig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97" t="s">
        <v>171</v>
      </c>
      <c r="C3" s="97"/>
      <c r="D3" s="97"/>
      <c r="E3" s="1"/>
    </row>
    <row r="4" spans="1:5" ht="15" customHeight="1" x14ac:dyDescent="0.25">
      <c r="A4" s="1"/>
      <c r="B4" s="97"/>
      <c r="C4" s="97"/>
      <c r="D4" s="97"/>
      <c r="E4" s="1"/>
    </row>
    <row r="5" spans="1:5" ht="15" customHeight="1" x14ac:dyDescent="0.25">
      <c r="A5" s="1"/>
      <c r="B5" s="97"/>
      <c r="C5" s="97"/>
      <c r="D5" s="97"/>
      <c r="E5" s="1"/>
    </row>
    <row r="6" spans="1:5" ht="15" customHeight="1" x14ac:dyDescent="0.25">
      <c r="A6" s="1"/>
      <c r="B6" s="68"/>
      <c r="C6" s="68"/>
      <c r="D6" s="68"/>
      <c r="E6" s="1"/>
    </row>
    <row r="7" spans="1:5" x14ac:dyDescent="0.25">
      <c r="A7" s="1"/>
      <c r="B7" s="1"/>
      <c r="C7" s="1"/>
      <c r="D7" s="1"/>
      <c r="E7" s="1"/>
    </row>
    <row r="8" spans="1:5" x14ac:dyDescent="0.25">
      <c r="A8" s="1"/>
      <c r="B8" s="98" t="s">
        <v>174</v>
      </c>
      <c r="C8" s="99"/>
      <c r="D8" s="100"/>
      <c r="E8" s="1"/>
    </row>
    <row r="9" spans="1:5" x14ac:dyDescent="0.25">
      <c r="A9" s="1"/>
      <c r="B9" s="56" t="s">
        <v>175</v>
      </c>
      <c r="C9" s="9">
        <v>-65932310.781089067</v>
      </c>
      <c r="D9" s="39" t="s">
        <v>3</v>
      </c>
      <c r="E9" s="1"/>
    </row>
    <row r="10" spans="1:5" x14ac:dyDescent="0.25">
      <c r="A10" s="1"/>
      <c r="B10" s="56" t="s">
        <v>173</v>
      </c>
      <c r="C10" s="9">
        <v>-23865277.107655406</v>
      </c>
      <c r="D10" s="14" t="s">
        <v>3</v>
      </c>
      <c r="E10" s="1"/>
    </row>
    <row r="11" spans="1:5" x14ac:dyDescent="0.25">
      <c r="A11" s="1"/>
      <c r="B11" s="53"/>
      <c r="C11" s="54"/>
      <c r="D11" s="19"/>
      <c r="E11" s="1"/>
    </row>
    <row r="12" spans="1:5" ht="53.85" customHeight="1" x14ac:dyDescent="0.25">
      <c r="A12" s="1"/>
      <c r="B12" s="107" t="s">
        <v>172</v>
      </c>
      <c r="C12" s="108"/>
      <c r="D12" s="109"/>
      <c r="E12" s="1"/>
    </row>
    <row r="13" spans="1:5" x14ac:dyDescent="0.25">
      <c r="A13" s="1"/>
      <c r="B13" s="1"/>
      <c r="C13" s="1"/>
      <c r="D13" s="1"/>
      <c r="E13" s="1"/>
    </row>
    <row r="14" spans="1:5" x14ac:dyDescent="0.25">
      <c r="A14" s="1"/>
      <c r="B14" s="69" t="s">
        <v>176</v>
      </c>
      <c r="C14" s="70"/>
      <c r="D14" s="71"/>
      <c r="E14" s="1"/>
    </row>
    <row r="15" spans="1:5" x14ac:dyDescent="0.25">
      <c r="A15" s="1"/>
      <c r="B15" s="56" t="s">
        <v>177</v>
      </c>
      <c r="C15" s="9">
        <f>IF(C10&lt;0,C10,0)</f>
        <v>-23865277.107655406</v>
      </c>
      <c r="D15" s="14" t="s">
        <v>3</v>
      </c>
      <c r="E15" s="1"/>
    </row>
    <row r="16" spans="1:5" x14ac:dyDescent="0.25">
      <c r="A16" s="1"/>
      <c r="B16" s="56" t="s">
        <v>184</v>
      </c>
      <c r="C16" s="9">
        <f>IF(SUM(C9)&gt;0,SUM(C9),0)</f>
        <v>0</v>
      </c>
      <c r="D16" s="14" t="s">
        <v>3</v>
      </c>
      <c r="E16" s="1"/>
    </row>
    <row r="17" spans="1:5" ht="26.25" x14ac:dyDescent="0.25">
      <c r="A17" s="1"/>
      <c r="B17" s="72" t="s">
        <v>178</v>
      </c>
      <c r="C17" s="62">
        <f>IF(SUM(C15:C16)&gt;0,0,SUM(C15:C16))</f>
        <v>-23865277.107655406</v>
      </c>
      <c r="D17" s="17" t="s">
        <v>3</v>
      </c>
      <c r="E17" s="1"/>
    </row>
    <row r="18" spans="1:5" x14ac:dyDescent="0.25">
      <c r="A18" s="1"/>
      <c r="B18" s="53"/>
      <c r="C18" s="54"/>
      <c r="D18" s="19"/>
      <c r="E18" s="1"/>
    </row>
    <row r="19" spans="1:5" x14ac:dyDescent="0.25">
      <c r="A19" s="1"/>
      <c r="B19" s="1"/>
      <c r="C19" s="1"/>
      <c r="D19" s="1"/>
      <c r="E19" s="1"/>
    </row>
    <row r="20" spans="1:5" x14ac:dyDescent="0.25">
      <c r="A20" s="1"/>
      <c r="B20" s="69" t="s">
        <v>179</v>
      </c>
      <c r="C20" s="70"/>
      <c r="D20" s="71"/>
      <c r="E20" s="1"/>
    </row>
    <row r="21" spans="1:5" x14ac:dyDescent="0.25">
      <c r="A21" s="1"/>
      <c r="B21" s="56" t="s">
        <v>180</v>
      </c>
      <c r="C21" s="9">
        <v>511716944.04570699</v>
      </c>
      <c r="D21" s="14" t="s">
        <v>3</v>
      </c>
      <c r="E21" s="1"/>
    </row>
    <row r="22" spans="1:5" x14ac:dyDescent="0.25">
      <c r="A22" s="1"/>
      <c r="B22" s="56" t="s">
        <v>181</v>
      </c>
      <c r="C22" s="9">
        <v>532836096</v>
      </c>
      <c r="D22" s="14" t="s">
        <v>3</v>
      </c>
      <c r="E22" s="1"/>
    </row>
    <row r="23" spans="1:5" x14ac:dyDescent="0.25">
      <c r="A23" s="1"/>
      <c r="B23" s="56" t="s">
        <v>28</v>
      </c>
      <c r="C23" s="9">
        <v>-1966030</v>
      </c>
      <c r="D23" s="14" t="s">
        <v>3</v>
      </c>
      <c r="E23" s="1"/>
    </row>
    <row r="24" spans="1:5" x14ac:dyDescent="0.25">
      <c r="A24" s="1"/>
      <c r="B24" s="74" t="s">
        <v>182</v>
      </c>
      <c r="C24" s="46">
        <f>C21-C22-C23</f>
        <v>-19153121.954293013</v>
      </c>
      <c r="D24" s="17" t="s">
        <v>3</v>
      </c>
      <c r="E24" s="1"/>
    </row>
    <row r="25" spans="1:5" x14ac:dyDescent="0.25">
      <c r="A25" s="1"/>
      <c r="B25" s="53"/>
      <c r="C25" s="54"/>
      <c r="D25" s="19"/>
      <c r="E25" s="1"/>
    </row>
    <row r="26" spans="1:5" x14ac:dyDescent="0.25">
      <c r="A26" s="1"/>
      <c r="B26" s="1"/>
      <c r="C26" s="1"/>
      <c r="D26" s="1"/>
      <c r="E26" s="1"/>
    </row>
    <row r="27" spans="1:5" x14ac:dyDescent="0.25">
      <c r="A27" s="1"/>
      <c r="B27" s="98" t="s">
        <v>183</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-43018399.061948419</v>
      </c>
      <c r="D28" s="14" t="s">
        <v>3</v>
      </c>
      <c r="E28" s="1"/>
    </row>
    <row r="29" spans="1:5" x14ac:dyDescent="0.25">
      <c r="A29" s="1"/>
      <c r="B29" s="57" t="s">
        <v>48</v>
      </c>
      <c r="C29" s="9">
        <v>2</v>
      </c>
      <c r="D29" s="14" t="s">
        <v>18</v>
      </c>
      <c r="E29" s="1"/>
    </row>
    <row r="30" spans="1:5" x14ac:dyDescent="0.25">
      <c r="A30" s="1"/>
      <c r="B30" s="58" t="s">
        <v>64</v>
      </c>
      <c r="C30" s="10">
        <f>C28/C29</f>
        <v>-21509199.530974209</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r3+/+pw3XVe8TUENcxAaenLS6ogAq+AMqc5SUk3JPjgrHRNQv0fBO/WQcgLsQ8g17BcOFTJNqPs0jpIh9Ld2gQ==" saltValue="OxAHi7FV8XdCAK3Mm32nWQ=="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28515625" style="30" customWidth="1"/>
    <col min="3" max="3" width="12.5703125" style="30" customWidth="1"/>
    <col min="4" max="4" width="3.28515625" style="30" customWidth="1"/>
    <col min="5" max="5" width="5.28515625" style="30" customWidth="1"/>
    <col min="6" max="16384" width="9.28515625" style="30" hidden="1"/>
  </cols>
  <sheetData>
    <row r="1" spans="1:5" x14ac:dyDescent="0.25">
      <c r="A1" s="1"/>
      <c r="B1" s="1"/>
      <c r="C1" s="1"/>
      <c r="D1" s="1"/>
      <c r="E1" s="1"/>
    </row>
    <row r="2" spans="1:5" x14ac:dyDescent="0.25">
      <c r="A2" s="1"/>
      <c r="B2" s="1"/>
      <c r="C2" s="1"/>
      <c r="D2" s="1"/>
      <c r="E2" s="1"/>
    </row>
    <row r="3" spans="1:5" ht="15" customHeight="1" x14ac:dyDescent="0.25">
      <c r="A3" s="1"/>
      <c r="B3" s="97" t="s">
        <v>96</v>
      </c>
      <c r="C3" s="97"/>
      <c r="D3" s="97"/>
      <c r="E3" s="1"/>
    </row>
    <row r="4" spans="1:5" ht="15" customHeight="1" x14ac:dyDescent="0.25">
      <c r="A4" s="1"/>
      <c r="B4" s="97"/>
      <c r="C4" s="97"/>
      <c r="D4" s="97"/>
      <c r="E4" s="1"/>
    </row>
    <row r="5" spans="1:5" x14ac:dyDescent="0.25">
      <c r="A5" s="1"/>
      <c r="B5" s="97"/>
      <c r="C5" s="97"/>
      <c r="D5" s="97"/>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9"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07Gq9MsqJcwNSxvIWOEGtXJxaVHvPOkp6RLfpPj9tJMmPzq4qSF1w9eXpw5zNTvcvsDOgwleqwkUtQukrDUkJg==" saltValue="Oqo65O7WJf9Caav39E6qJA=="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28515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191</v>
      </c>
      <c r="C10" s="48">
        <v>0</v>
      </c>
      <c r="D10" s="9">
        <v>0</v>
      </c>
      <c r="E10" s="14" t="s">
        <v>3</v>
      </c>
      <c r="F10" s="61">
        <f>IFERROR(D10/C10,0)</f>
        <v>0</v>
      </c>
      <c r="G10" s="14" t="s">
        <v>3</v>
      </c>
      <c r="H10" s="9">
        <v>0</v>
      </c>
      <c r="I10" s="14" t="s">
        <v>3</v>
      </c>
      <c r="J10" s="9">
        <v>0</v>
      </c>
      <c r="K10" s="14" t="s">
        <v>3</v>
      </c>
      <c r="L10" s="1"/>
    </row>
    <row r="11" spans="1:12" x14ac:dyDescent="0.25">
      <c r="A11" s="1"/>
      <c r="B11" s="53" t="s">
        <v>146</v>
      </c>
      <c r="C11" s="54"/>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y4kUtItCsd06a4wkGaF21KS68VqAMz3WL0rXE22TjzwtCpw4KuZIGnJnII33DjbM5C3FZR3kKzCI3WyDJKORg==" saltValue="0kX8vnP4JrBaNLv/2Jg9x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81"/>
  <sheetViews>
    <sheetView showGridLines="0" zoomScaleNormal="100" workbookViewId="0"/>
  </sheetViews>
  <sheetFormatPr defaultColWidth="0" defaultRowHeight="15" zeroHeight="1" x14ac:dyDescent="0.25"/>
  <cols>
    <col min="1" max="1" width="5.28515625" style="2" customWidth="1"/>
    <col min="2" max="2" width="38.28515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3" t="s">
        <v>34</v>
      </c>
      <c r="C8" s="54"/>
      <c r="D8" s="54"/>
      <c r="E8" s="54"/>
      <c r="F8" s="19"/>
      <c r="G8" s="1"/>
    </row>
    <row r="9" spans="1:7" ht="17.25" customHeight="1" x14ac:dyDescent="0.25">
      <c r="A9" s="1"/>
      <c r="B9" s="72" t="s">
        <v>15</v>
      </c>
      <c r="C9" s="74" t="s">
        <v>10</v>
      </c>
      <c r="D9" s="73"/>
      <c r="E9" s="74"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200</v>
      </c>
      <c r="C11" s="21">
        <v>7404255</v>
      </c>
      <c r="D11" s="14" t="s">
        <v>3</v>
      </c>
      <c r="E11" s="9">
        <v>0</v>
      </c>
      <c r="F11" s="14" t="s">
        <v>3</v>
      </c>
      <c r="G11" s="1"/>
    </row>
    <row r="12" spans="1:7" x14ac:dyDescent="0.25">
      <c r="A12" s="1"/>
      <c r="B12" s="26" t="s">
        <v>201</v>
      </c>
      <c r="C12" s="21">
        <v>1823713</v>
      </c>
      <c r="D12" s="14" t="s">
        <v>3</v>
      </c>
      <c r="E12" s="9">
        <v>0</v>
      </c>
      <c r="F12" s="14" t="s">
        <v>3</v>
      </c>
      <c r="G12" s="1"/>
    </row>
    <row r="13" spans="1:7" x14ac:dyDescent="0.25">
      <c r="A13" s="1"/>
      <c r="B13" s="26" t="s">
        <v>202</v>
      </c>
      <c r="C13" s="21">
        <v>0</v>
      </c>
      <c r="D13" s="14" t="s">
        <v>3</v>
      </c>
      <c r="E13" s="9">
        <v>10230</v>
      </c>
      <c r="F13" s="14" t="s">
        <v>3</v>
      </c>
      <c r="G13" s="1"/>
    </row>
    <row r="14" spans="1:7" x14ac:dyDescent="0.25">
      <c r="A14" s="1"/>
      <c r="B14" s="26" t="s">
        <v>203</v>
      </c>
      <c r="C14" s="21">
        <v>0</v>
      </c>
      <c r="D14" s="14" t="s">
        <v>3</v>
      </c>
      <c r="E14" s="9">
        <v>17399</v>
      </c>
      <c r="F14" s="14" t="s">
        <v>3</v>
      </c>
      <c r="G14" s="1"/>
    </row>
    <row r="15" spans="1:7" x14ac:dyDescent="0.25">
      <c r="A15" s="1"/>
      <c r="B15" s="26" t="s">
        <v>204</v>
      </c>
      <c r="C15" s="21">
        <v>0</v>
      </c>
      <c r="D15" s="14" t="s">
        <v>3</v>
      </c>
      <c r="E15" s="9">
        <v>4337</v>
      </c>
      <c r="F15" s="14" t="s">
        <v>3</v>
      </c>
      <c r="G15" s="1"/>
    </row>
    <row r="16" spans="1:7" x14ac:dyDescent="0.25">
      <c r="A16" s="1"/>
      <c r="B16" s="26" t="s">
        <v>205</v>
      </c>
      <c r="C16" s="21">
        <v>0</v>
      </c>
      <c r="D16" s="14" t="s">
        <v>3</v>
      </c>
      <c r="E16" s="9">
        <v>343</v>
      </c>
      <c r="F16" s="14" t="s">
        <v>3</v>
      </c>
      <c r="G16" s="1"/>
    </row>
    <row r="17" spans="1:7" x14ac:dyDescent="0.25">
      <c r="A17" s="1"/>
      <c r="B17" s="26" t="s">
        <v>206</v>
      </c>
      <c r="C17" s="21">
        <v>0</v>
      </c>
      <c r="D17" s="14" t="s">
        <v>3</v>
      </c>
      <c r="E17" s="9">
        <v>1106</v>
      </c>
      <c r="F17" s="14" t="s">
        <v>3</v>
      </c>
      <c r="G17" s="1"/>
    </row>
    <row r="18" spans="1:7" x14ac:dyDescent="0.25">
      <c r="A18" s="1"/>
      <c r="B18" s="26" t="s">
        <v>207</v>
      </c>
      <c r="C18" s="21">
        <v>0</v>
      </c>
      <c r="D18" s="14" t="s">
        <v>3</v>
      </c>
      <c r="E18" s="9">
        <v>14344</v>
      </c>
      <c r="F18" s="14" t="s">
        <v>3</v>
      </c>
      <c r="G18" s="1"/>
    </row>
    <row r="19" spans="1:7" x14ac:dyDescent="0.25">
      <c r="A19" s="1"/>
      <c r="B19" s="26" t="s">
        <v>208</v>
      </c>
      <c r="C19" s="21">
        <v>0</v>
      </c>
      <c r="D19" s="14" t="s">
        <v>3</v>
      </c>
      <c r="E19" s="9">
        <v>3745</v>
      </c>
      <c r="F19" s="14" t="s">
        <v>3</v>
      </c>
      <c r="G19" s="1"/>
    </row>
    <row r="20" spans="1:7" x14ac:dyDescent="0.25">
      <c r="A20" s="1"/>
      <c r="B20" s="26" t="s">
        <v>209</v>
      </c>
      <c r="C20" s="21">
        <v>0</v>
      </c>
      <c r="D20" s="14" t="s">
        <v>3</v>
      </c>
      <c r="E20" s="9">
        <v>4026</v>
      </c>
      <c r="F20" s="14" t="s">
        <v>3</v>
      </c>
      <c r="G20" s="1"/>
    </row>
    <row r="21" spans="1:7" x14ac:dyDescent="0.25">
      <c r="A21" s="1"/>
      <c r="B21" s="26" t="s">
        <v>210</v>
      </c>
      <c r="C21" s="21">
        <v>0</v>
      </c>
      <c r="D21" s="14" t="s">
        <v>3</v>
      </c>
      <c r="E21" s="9">
        <v>670</v>
      </c>
      <c r="F21" s="14" t="s">
        <v>3</v>
      </c>
      <c r="G21" s="1"/>
    </row>
    <row r="22" spans="1:7" x14ac:dyDescent="0.25">
      <c r="A22" s="1"/>
      <c r="B22" s="26" t="s">
        <v>211</v>
      </c>
      <c r="C22" s="21">
        <v>0</v>
      </c>
      <c r="D22" s="14" t="s">
        <v>3</v>
      </c>
      <c r="E22" s="9">
        <v>1223</v>
      </c>
      <c r="F22" s="14" t="s">
        <v>3</v>
      </c>
      <c r="G22" s="1"/>
    </row>
    <row r="23" spans="1:7" x14ac:dyDescent="0.25">
      <c r="A23" s="1"/>
      <c r="B23" s="26" t="s">
        <v>212</v>
      </c>
      <c r="C23" s="21">
        <v>0</v>
      </c>
      <c r="D23" s="14" t="s">
        <v>3</v>
      </c>
      <c r="E23" s="9">
        <v>5352</v>
      </c>
      <c r="F23" s="14" t="s">
        <v>3</v>
      </c>
      <c r="G23" s="1"/>
    </row>
    <row r="24" spans="1:7" x14ac:dyDescent="0.25">
      <c r="A24" s="1"/>
      <c r="B24" s="26" t="s">
        <v>213</v>
      </c>
      <c r="C24" s="21">
        <v>0</v>
      </c>
      <c r="D24" s="14" t="s">
        <v>3</v>
      </c>
      <c r="E24" s="9">
        <v>2049</v>
      </c>
      <c r="F24" s="14" t="s">
        <v>3</v>
      </c>
      <c r="G24" s="1"/>
    </row>
    <row r="25" spans="1:7" x14ac:dyDescent="0.25">
      <c r="A25" s="1"/>
      <c r="B25" s="26" t="s">
        <v>214</v>
      </c>
      <c r="C25" s="21">
        <v>0</v>
      </c>
      <c r="D25" s="14" t="s">
        <v>3</v>
      </c>
      <c r="E25" s="9">
        <v>1985</v>
      </c>
      <c r="F25" s="14" t="s">
        <v>3</v>
      </c>
      <c r="G25" s="1"/>
    </row>
    <row r="26" spans="1:7" x14ac:dyDescent="0.25">
      <c r="A26" s="1"/>
      <c r="B26" s="26" t="s">
        <v>215</v>
      </c>
      <c r="C26" s="21">
        <v>0</v>
      </c>
      <c r="D26" s="14" t="s">
        <v>3</v>
      </c>
      <c r="E26" s="9">
        <v>594</v>
      </c>
      <c r="F26" s="14" t="s">
        <v>3</v>
      </c>
      <c r="G26" s="1"/>
    </row>
    <row r="27" spans="1:7" x14ac:dyDescent="0.25">
      <c r="A27" s="1"/>
      <c r="B27" s="26" t="s">
        <v>216</v>
      </c>
      <c r="C27" s="21">
        <v>0</v>
      </c>
      <c r="D27" s="14" t="s">
        <v>3</v>
      </c>
      <c r="E27" s="9">
        <v>5135</v>
      </c>
      <c r="F27" s="14" t="s">
        <v>3</v>
      </c>
      <c r="G27" s="1"/>
    </row>
    <row r="28" spans="1:7" x14ac:dyDescent="0.25">
      <c r="A28" s="1"/>
      <c r="B28" s="26" t="s">
        <v>217</v>
      </c>
      <c r="C28" s="21">
        <v>0</v>
      </c>
      <c r="D28" s="14" t="s">
        <v>3</v>
      </c>
      <c r="E28" s="9">
        <v>2882</v>
      </c>
      <c r="F28" s="14" t="s">
        <v>3</v>
      </c>
      <c r="G28" s="1"/>
    </row>
    <row r="29" spans="1:7" x14ac:dyDescent="0.25">
      <c r="A29" s="1"/>
      <c r="B29" s="26" t="s">
        <v>218</v>
      </c>
      <c r="C29" s="21">
        <v>0</v>
      </c>
      <c r="D29" s="14" t="s">
        <v>3</v>
      </c>
      <c r="E29" s="9">
        <v>5309</v>
      </c>
      <c r="F29" s="14" t="s">
        <v>3</v>
      </c>
      <c r="G29" s="1"/>
    </row>
    <row r="30" spans="1:7" x14ac:dyDescent="0.25">
      <c r="A30" s="1"/>
      <c r="B30" s="26" t="s">
        <v>219</v>
      </c>
      <c r="C30" s="21">
        <v>0</v>
      </c>
      <c r="D30" s="14" t="s">
        <v>3</v>
      </c>
      <c r="E30" s="9">
        <v>21154</v>
      </c>
      <c r="F30" s="14" t="s">
        <v>3</v>
      </c>
      <c r="G30" s="1"/>
    </row>
    <row r="31" spans="1:7" x14ac:dyDescent="0.25">
      <c r="A31" s="1"/>
      <c r="B31" s="26" t="s">
        <v>220</v>
      </c>
      <c r="C31" s="21">
        <v>0</v>
      </c>
      <c r="D31" s="14" t="s">
        <v>3</v>
      </c>
      <c r="E31" s="9">
        <v>6397</v>
      </c>
      <c r="F31" s="14" t="s">
        <v>3</v>
      </c>
      <c r="G31" s="1"/>
    </row>
    <row r="32" spans="1:7" x14ac:dyDescent="0.25">
      <c r="A32" s="1"/>
      <c r="B32" s="26" t="s">
        <v>221</v>
      </c>
      <c r="C32" s="21">
        <v>1324741</v>
      </c>
      <c r="D32" s="14" t="s">
        <v>3</v>
      </c>
      <c r="E32" s="9">
        <v>0</v>
      </c>
      <c r="F32" s="14" t="s">
        <v>3</v>
      </c>
      <c r="G32" s="1"/>
    </row>
    <row r="33" spans="1:7" x14ac:dyDescent="0.25">
      <c r="A33" s="1"/>
      <c r="B33" s="26" t="s">
        <v>222</v>
      </c>
      <c r="C33" s="21">
        <v>0</v>
      </c>
      <c r="D33" s="14" t="s">
        <v>3</v>
      </c>
      <c r="E33" s="9">
        <v>23044</v>
      </c>
      <c r="F33" s="14" t="s">
        <v>3</v>
      </c>
      <c r="G33" s="1"/>
    </row>
    <row r="34" spans="1:7" x14ac:dyDescent="0.25">
      <c r="A34" s="1"/>
      <c r="B34" s="26" t="s">
        <v>223</v>
      </c>
      <c r="C34" s="21">
        <v>2013609</v>
      </c>
      <c r="D34" s="14" t="s">
        <v>3</v>
      </c>
      <c r="E34" s="9">
        <v>0</v>
      </c>
      <c r="F34" s="14" t="s">
        <v>3</v>
      </c>
      <c r="G34" s="1"/>
    </row>
    <row r="35" spans="1:7" x14ac:dyDescent="0.25">
      <c r="A35" s="1"/>
      <c r="B35" s="26" t="s">
        <v>224</v>
      </c>
      <c r="C35" s="21">
        <v>0</v>
      </c>
      <c r="D35" s="14" t="s">
        <v>3</v>
      </c>
      <c r="E35" s="9">
        <v>366559</v>
      </c>
      <c r="F35" s="14" t="s">
        <v>3</v>
      </c>
      <c r="G35" s="1"/>
    </row>
    <row r="36" spans="1:7" x14ac:dyDescent="0.25">
      <c r="A36" s="1"/>
      <c r="B36" s="26" t="s">
        <v>225</v>
      </c>
      <c r="C36" s="21">
        <v>0</v>
      </c>
      <c r="D36" s="14" t="s">
        <v>3</v>
      </c>
      <c r="E36" s="9">
        <v>112995</v>
      </c>
      <c r="F36" s="14" t="s">
        <v>3</v>
      </c>
      <c r="G36" s="1"/>
    </row>
    <row r="37" spans="1:7" x14ac:dyDescent="0.25">
      <c r="A37" s="1"/>
      <c r="B37" s="26"/>
      <c r="C37" s="21"/>
      <c r="D37" s="14" t="s">
        <v>3</v>
      </c>
      <c r="E37" s="9"/>
      <c r="F37" s="14" t="s">
        <v>3</v>
      </c>
      <c r="G37" s="1"/>
    </row>
    <row r="38" spans="1:7" x14ac:dyDescent="0.25">
      <c r="A38" s="1"/>
      <c r="B38" s="26"/>
      <c r="C38" s="21"/>
      <c r="D38" s="14" t="s">
        <v>3</v>
      </c>
      <c r="E38" s="9"/>
      <c r="F38" s="14" t="s">
        <v>3</v>
      </c>
      <c r="G38" s="1"/>
    </row>
    <row r="39" spans="1:7" x14ac:dyDescent="0.25">
      <c r="A39" s="1"/>
      <c r="B39" s="26"/>
      <c r="C39" s="21"/>
      <c r="D39" s="14" t="s">
        <v>3</v>
      </c>
      <c r="E39" s="9"/>
      <c r="F39" s="14" t="s">
        <v>3</v>
      </c>
      <c r="G39" s="1"/>
    </row>
    <row r="40" spans="1:7" x14ac:dyDescent="0.25">
      <c r="A40" s="1"/>
      <c r="B40" s="26"/>
      <c r="C40" s="21"/>
      <c r="D40" s="14" t="s">
        <v>3</v>
      </c>
      <c r="E40" s="9"/>
      <c r="F40" s="14" t="s">
        <v>3</v>
      </c>
      <c r="G40" s="1"/>
    </row>
    <row r="41" spans="1:7" x14ac:dyDescent="0.25">
      <c r="A41" s="1"/>
      <c r="B41" s="53" t="s">
        <v>112</v>
      </c>
      <c r="C41" s="12">
        <f>SUM(C10:C40)</f>
        <v>12566318</v>
      </c>
      <c r="D41" s="13" t="s">
        <v>3</v>
      </c>
      <c r="E41" s="12">
        <f>SUM(E10:E40)</f>
        <v>610878</v>
      </c>
      <c r="F41" s="13" t="s">
        <v>3</v>
      </c>
      <c r="G41" s="1"/>
    </row>
    <row r="42" spans="1:7" x14ac:dyDescent="0.25">
      <c r="A42" s="1"/>
      <c r="B42" s="53" t="s">
        <v>147</v>
      </c>
      <c r="C42" s="12">
        <f>C41*(1+'Fane 13. Nøgletal'!C11)</f>
        <v>13399464.883400001</v>
      </c>
      <c r="D42" s="13" t="s">
        <v>3</v>
      </c>
      <c r="E42" s="12">
        <f>E41*(1+'Fane 13. Nøgletal'!C11)</f>
        <v>651379.21140000003</v>
      </c>
      <c r="F42" s="13" t="s">
        <v>3</v>
      </c>
      <c r="G42" s="1"/>
    </row>
    <row r="43" spans="1:7" x14ac:dyDescent="0.25">
      <c r="A43" s="1"/>
      <c r="B43" s="1"/>
      <c r="C43" s="1" t="s">
        <v>82</v>
      </c>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x14ac:dyDescent="0.25">
      <c r="A57" s="1"/>
      <c r="B57" s="1"/>
      <c r="C57" s="1"/>
      <c r="D57" s="1"/>
      <c r="E57" s="1"/>
      <c r="F57" s="1"/>
      <c r="G57" s="1"/>
    </row>
    <row r="58" spans="1:7" x14ac:dyDescent="0.25">
      <c r="A58" s="1"/>
      <c r="B58" s="1"/>
      <c r="C58" s="1"/>
      <c r="D58" s="1"/>
      <c r="E58" s="1"/>
      <c r="F58" s="1"/>
      <c r="G58" s="1"/>
    </row>
    <row r="59" spans="1:7" x14ac:dyDescent="0.25">
      <c r="A59" s="1"/>
      <c r="B59" s="1"/>
      <c r="C59" s="1"/>
      <c r="D59" s="1"/>
      <c r="E59" s="1"/>
      <c r="F59" s="1"/>
      <c r="G59" s="1"/>
    </row>
    <row r="60" spans="1:7" x14ac:dyDescent="0.25">
      <c r="A60" s="1"/>
      <c r="B60" s="1"/>
      <c r="C60" s="1"/>
      <c r="D60" s="1"/>
      <c r="E60" s="1"/>
      <c r="F60" s="1"/>
      <c r="G60" s="1"/>
    </row>
    <row r="61" spans="1:7" x14ac:dyDescent="0.25">
      <c r="A61" s="1"/>
      <c r="B61" s="1"/>
      <c r="C61" s="1"/>
      <c r="D61" s="1"/>
      <c r="E61" s="1"/>
      <c r="F61" s="1"/>
      <c r="G61" s="1"/>
    </row>
    <row r="62" spans="1:7" x14ac:dyDescent="0.25">
      <c r="A62" s="1"/>
      <c r="B62" s="1"/>
      <c r="C62" s="1"/>
      <c r="D62" s="1"/>
      <c r="E62" s="1"/>
      <c r="F62" s="1"/>
      <c r="G62" s="1"/>
    </row>
    <row r="63" spans="1:7" x14ac:dyDescent="0.25">
      <c r="A63" s="1"/>
      <c r="B63" s="1"/>
      <c r="C63" s="1"/>
      <c r="D63" s="1"/>
      <c r="E63" s="1"/>
      <c r="F63" s="1"/>
      <c r="G63" s="1"/>
    </row>
    <row r="64" spans="1:7" x14ac:dyDescent="0.25">
      <c r="A64" s="1"/>
      <c r="B64" s="1"/>
      <c r="C64" s="1"/>
      <c r="D64" s="1"/>
      <c r="E64" s="1"/>
      <c r="F64" s="1"/>
      <c r="G64" s="1"/>
    </row>
    <row r="65" spans="1:7" x14ac:dyDescent="0.25">
      <c r="A65" s="1"/>
      <c r="B65" s="1"/>
      <c r="C65" s="1"/>
      <c r="D65" s="1"/>
      <c r="E65" s="1"/>
      <c r="F65" s="1"/>
      <c r="G65" s="1"/>
    </row>
    <row r="66" spans="1:7" x14ac:dyDescent="0.25">
      <c r="A66" s="1"/>
      <c r="B66" s="1"/>
      <c r="C66" s="1"/>
      <c r="D66" s="1"/>
      <c r="E66" s="1"/>
      <c r="F66" s="1"/>
      <c r="G66" s="1"/>
    </row>
    <row r="67" spans="1:7" x14ac:dyDescent="0.25">
      <c r="A67" s="1"/>
      <c r="B67" s="1"/>
      <c r="C67" s="1"/>
      <c r="D67" s="1"/>
      <c r="E67" s="1"/>
      <c r="F67" s="1"/>
      <c r="G67" s="1"/>
    </row>
    <row r="68" spans="1:7" x14ac:dyDescent="0.25">
      <c r="A68" s="1"/>
      <c r="B68" s="1"/>
      <c r="C68" s="1"/>
      <c r="D68" s="1"/>
      <c r="E68" s="1"/>
      <c r="F68" s="1"/>
      <c r="G68" s="1"/>
    </row>
    <row r="69" spans="1:7" x14ac:dyDescent="0.25">
      <c r="A69" s="1"/>
      <c r="B69" s="1"/>
      <c r="C69" s="1"/>
      <c r="D69" s="1"/>
      <c r="E69" s="1"/>
      <c r="F69" s="1"/>
      <c r="G69" s="1"/>
    </row>
    <row r="70" spans="1:7" x14ac:dyDescent="0.25">
      <c r="A70" s="1"/>
      <c r="B70" s="1"/>
      <c r="C70" s="1"/>
      <c r="D70" s="1"/>
      <c r="E70" s="1"/>
      <c r="F70" s="1"/>
      <c r="G70" s="1"/>
    </row>
    <row r="71" spans="1:7" x14ac:dyDescent="0.25">
      <c r="A71" s="1"/>
      <c r="B71" s="1"/>
      <c r="C71" s="1"/>
      <c r="D71" s="1"/>
      <c r="E71" s="1"/>
      <c r="F71" s="1"/>
      <c r="G71" s="1"/>
    </row>
    <row r="72" spans="1:7" x14ac:dyDescent="0.25">
      <c r="A72" s="1"/>
      <c r="B72" s="1"/>
      <c r="C72" s="1"/>
      <c r="D72" s="1"/>
      <c r="E72" s="1"/>
      <c r="F72" s="1"/>
      <c r="G72" s="1"/>
    </row>
    <row r="73" spans="1:7" x14ac:dyDescent="0.25">
      <c r="A73" s="1"/>
      <c r="B73" s="1"/>
      <c r="C73" s="1"/>
      <c r="D73" s="1"/>
      <c r="E73" s="1"/>
      <c r="F73" s="1"/>
      <c r="G73" s="1"/>
    </row>
    <row r="74" spans="1:7" x14ac:dyDescent="0.25">
      <c r="A74" s="1"/>
      <c r="B74" s="1"/>
      <c r="C74" s="1"/>
      <c r="D74" s="1"/>
      <c r="E74" s="1"/>
      <c r="F74" s="1"/>
      <c r="G74" s="1"/>
    </row>
    <row r="75" spans="1:7" hidden="1" x14ac:dyDescent="0.25">
      <c r="A75" s="40"/>
      <c r="B75" s="40"/>
      <c r="C75" s="40"/>
      <c r="D75" s="40"/>
      <c r="E75" s="40"/>
      <c r="F75" s="40"/>
      <c r="G75" s="40"/>
    </row>
    <row r="76" spans="1:7" hidden="1" x14ac:dyDescent="0.25">
      <c r="A76" s="40"/>
      <c r="B76" s="40"/>
      <c r="C76" s="40"/>
      <c r="D76" s="40"/>
      <c r="E76" s="40"/>
      <c r="F76" s="40"/>
      <c r="G76" s="40"/>
    </row>
    <row r="77" spans="1:7" hidden="1" x14ac:dyDescent="0.25">
      <c r="A77" s="40"/>
      <c r="B77" s="40"/>
      <c r="C77" s="40"/>
      <c r="D77" s="40"/>
      <c r="E77" s="40"/>
      <c r="F77" s="40"/>
      <c r="G77" s="40"/>
    </row>
    <row r="78" spans="1:7" hidden="1" x14ac:dyDescent="0.25">
      <c r="A78" s="40"/>
      <c r="B78" s="40"/>
      <c r="C78" s="40"/>
      <c r="D78" s="40"/>
      <c r="E78" s="40"/>
      <c r="F78" s="40"/>
      <c r="G78" s="40"/>
    </row>
    <row r="79" spans="1:7" hidden="1" x14ac:dyDescent="0.25">
      <c r="A79" s="40"/>
      <c r="B79" s="40"/>
      <c r="C79" s="40"/>
      <c r="D79" s="40"/>
      <c r="E79" s="40"/>
      <c r="F79" s="40"/>
      <c r="G79" s="40"/>
    </row>
    <row r="80" spans="1:7" hidden="1" x14ac:dyDescent="0.25">
      <c r="A80" s="40"/>
      <c r="B80" s="40"/>
      <c r="C80" s="40"/>
      <c r="D80" s="40"/>
      <c r="E80" s="40"/>
      <c r="F80" s="40"/>
      <c r="G80" s="40"/>
    </row>
    <row r="81" spans="1:7" hidden="1" x14ac:dyDescent="0.25">
      <c r="A81" s="40"/>
      <c r="B81" s="40"/>
      <c r="C81" s="40"/>
      <c r="D81" s="40"/>
      <c r="E81" s="40"/>
      <c r="F81" s="40"/>
      <c r="G81" s="40"/>
    </row>
  </sheetData>
  <sheetProtection algorithmName="SHA-512" hashValue="N9DEXa9fcvMSwDP6M89KPploi6DL3g04TMMbhNMJd6reMPqAttPhtE8j4ernzcJ0xsVZJOWE4IJyQpVWiGjH/w==" saltValue="QjuwBjtBKM2ULTDvzNAcm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6"/>
  <sheetViews>
    <sheetView showGridLines="0" zoomScaleNormal="100" workbookViewId="0"/>
  </sheetViews>
  <sheetFormatPr defaultColWidth="0" defaultRowHeight="15" zeroHeight="1" x14ac:dyDescent="0.25"/>
  <cols>
    <col min="1" max="1" width="5.28515625" style="2" customWidth="1"/>
    <col min="2" max="2" width="38.28515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149</v>
      </c>
      <c r="C8" s="99"/>
      <c r="D8" s="99"/>
      <c r="E8" s="99"/>
      <c r="F8" s="100"/>
      <c r="G8" s="1"/>
    </row>
    <row r="9" spans="1:7" x14ac:dyDescent="0.25">
      <c r="A9" s="1"/>
      <c r="B9" s="72" t="s">
        <v>15</v>
      </c>
      <c r="C9" s="74" t="s">
        <v>10</v>
      </c>
      <c r="D9" s="75"/>
      <c r="E9" s="74" t="s">
        <v>26</v>
      </c>
      <c r="F9" s="27"/>
      <c r="G9" s="1"/>
    </row>
    <row r="10" spans="1:7" x14ac:dyDescent="0.25">
      <c r="A10" s="1"/>
      <c r="B10" s="23" t="s">
        <v>226</v>
      </c>
      <c r="C10" s="21">
        <v>249185</v>
      </c>
      <c r="D10" s="14" t="s">
        <v>3</v>
      </c>
      <c r="E10" s="9">
        <v>0</v>
      </c>
      <c r="F10" s="14" t="s">
        <v>3</v>
      </c>
      <c r="G10" s="1"/>
    </row>
    <row r="11" spans="1:7" x14ac:dyDescent="0.25">
      <c r="A11" s="1"/>
      <c r="B11" s="23" t="s">
        <v>227</v>
      </c>
      <c r="C11" s="21">
        <v>154517</v>
      </c>
      <c r="D11" s="14" t="s">
        <v>3</v>
      </c>
      <c r="E11" s="9">
        <v>0</v>
      </c>
      <c r="F11" s="14" t="s">
        <v>3</v>
      </c>
      <c r="G11" s="1"/>
    </row>
    <row r="12" spans="1:7" x14ac:dyDescent="0.25">
      <c r="A12" s="1"/>
      <c r="B12" s="23" t="s">
        <v>234</v>
      </c>
      <c r="C12" s="21">
        <v>7000</v>
      </c>
      <c r="D12" s="14" t="s">
        <v>3</v>
      </c>
      <c r="E12" s="9"/>
      <c r="F12" s="14"/>
      <c r="G12" s="1"/>
    </row>
    <row r="13" spans="1:7" x14ac:dyDescent="0.25">
      <c r="A13" s="1"/>
      <c r="B13" s="23" t="s">
        <v>235</v>
      </c>
      <c r="C13" s="21">
        <v>13000</v>
      </c>
      <c r="D13" s="14" t="s">
        <v>3</v>
      </c>
      <c r="E13" s="9"/>
      <c r="F13" s="14"/>
      <c r="G13" s="1"/>
    </row>
    <row r="14" spans="1:7" x14ac:dyDescent="0.25">
      <c r="A14" s="1"/>
      <c r="B14" s="23" t="s">
        <v>236</v>
      </c>
      <c r="C14" s="21">
        <v>27200</v>
      </c>
      <c r="D14" s="14" t="s">
        <v>3</v>
      </c>
      <c r="E14" s="9"/>
      <c r="F14" s="14"/>
      <c r="G14" s="1"/>
    </row>
    <row r="15" spans="1:7" x14ac:dyDescent="0.25">
      <c r="A15" s="1"/>
      <c r="B15" s="23" t="s">
        <v>237</v>
      </c>
      <c r="C15" s="21">
        <v>116850</v>
      </c>
      <c r="D15" s="14" t="s">
        <v>3</v>
      </c>
      <c r="E15" s="9"/>
      <c r="F15" s="14"/>
      <c r="G15" s="1"/>
    </row>
    <row r="16" spans="1:7" x14ac:dyDescent="0.25">
      <c r="A16" s="1"/>
      <c r="B16" s="23" t="s">
        <v>238</v>
      </c>
      <c r="C16" s="21">
        <v>28800</v>
      </c>
      <c r="D16" s="14" t="s">
        <v>3</v>
      </c>
      <c r="E16" s="9"/>
      <c r="F16" s="14"/>
      <c r="G16" s="1"/>
    </row>
    <row r="17" spans="1:7" x14ac:dyDescent="0.25">
      <c r="A17" s="1"/>
      <c r="B17" s="23" t="s">
        <v>239</v>
      </c>
      <c r="C17" s="21">
        <v>70700</v>
      </c>
      <c r="D17" s="14" t="s">
        <v>3</v>
      </c>
      <c r="E17" s="9"/>
      <c r="F17" s="14"/>
      <c r="G17" s="1"/>
    </row>
    <row r="18" spans="1:7" x14ac:dyDescent="0.25">
      <c r="A18" s="1"/>
      <c r="B18" s="23" t="s">
        <v>241</v>
      </c>
      <c r="C18" s="21">
        <v>583150</v>
      </c>
      <c r="D18" s="14" t="s">
        <v>3</v>
      </c>
      <c r="E18" s="9"/>
      <c r="F18" s="14" t="s">
        <v>3</v>
      </c>
      <c r="G18" s="1"/>
    </row>
    <row r="19" spans="1:7" x14ac:dyDescent="0.25">
      <c r="A19" s="1"/>
      <c r="B19" s="53" t="s">
        <v>240</v>
      </c>
      <c r="C19" s="12">
        <f>SUM(C10:C18)</f>
        <v>1250402</v>
      </c>
      <c r="D19" s="13" t="s">
        <v>3</v>
      </c>
      <c r="E19" s="12">
        <f>SUM(E10:E18)</f>
        <v>0</v>
      </c>
      <c r="F19" s="13" t="s">
        <v>3</v>
      </c>
      <c r="G19" s="1"/>
    </row>
    <row r="20" spans="1:7" x14ac:dyDescent="0.25">
      <c r="A20" s="1"/>
      <c r="B20" s="53" t="s">
        <v>148</v>
      </c>
      <c r="C20" s="12">
        <f>C19*(1+'Fane 13. Nøgletal'!$C$11)^2</f>
        <v>1421701.6847673799</v>
      </c>
      <c r="D20" s="13" t="s">
        <v>3</v>
      </c>
      <c r="E20" s="12">
        <f>E19*(1+'Fane 13. Nøgletal'!$C$11)^2</f>
        <v>0</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ht="18" customHeight="1"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sheetData>
  <sheetProtection algorithmName="SHA-512" hashValue="zPkia/eEQwseRCRIWUn+kFvsNhTvNSYhnqacG1Qf0zHvKBdJ/HNq2JscdJKwe9n6piXBKh0owO+i6wK//34iuQ==" saltValue="ylR66ERaVk8MrQVJAqjHnA=="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93</v>
      </c>
      <c r="C3" s="97"/>
      <c r="D3" s="97"/>
      <c r="E3" s="97"/>
      <c r="F3" s="97"/>
      <c r="G3" s="1"/>
    </row>
    <row r="4" spans="1:7" ht="15" customHeight="1" x14ac:dyDescent="0.25">
      <c r="A4" s="1"/>
      <c r="B4" s="97"/>
      <c r="C4" s="97"/>
      <c r="D4" s="97"/>
      <c r="E4" s="97"/>
      <c r="F4" s="97"/>
      <c r="G4" s="1"/>
    </row>
    <row r="5" spans="1:7" x14ac:dyDescent="0.25">
      <c r="A5" s="1"/>
      <c r="B5" s="97"/>
      <c r="C5" s="97"/>
      <c r="D5" s="97"/>
      <c r="E5" s="97"/>
      <c r="F5" s="97"/>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5" t="s">
        <v>60</v>
      </c>
      <c r="C9" s="118" t="s">
        <v>10</v>
      </c>
      <c r="D9" s="119"/>
      <c r="E9" s="118" t="s">
        <v>26</v>
      </c>
      <c r="F9" s="119"/>
      <c r="G9" s="1"/>
    </row>
    <row r="10" spans="1:7" ht="26.25" x14ac:dyDescent="0.25">
      <c r="A10" s="1"/>
      <c r="B10" s="60" t="s">
        <v>189</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150</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rSXr4/2LXnUl/kNINsFrs71NEnXthxVk7PwONdtxn5AegEi/Vb7wn2HLyguS3RvXESCneZMewbLi+HQPCeccrw==" saltValue="xcgQ3pajJMdetJXrVv33Ug=="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94</v>
      </c>
      <c r="C3" s="97"/>
      <c r="D3" s="97"/>
      <c r="E3" s="97"/>
      <c r="F3" s="97"/>
      <c r="G3" s="1"/>
    </row>
    <row r="4" spans="1:7" ht="15" customHeight="1" x14ac:dyDescent="0.25">
      <c r="A4" s="1"/>
      <c r="B4" s="97"/>
      <c r="C4" s="97"/>
      <c r="D4" s="97"/>
      <c r="E4" s="97"/>
      <c r="F4" s="97"/>
      <c r="G4" s="1"/>
    </row>
    <row r="5" spans="1:7" x14ac:dyDescent="0.25">
      <c r="A5" s="1"/>
      <c r="B5" s="97"/>
      <c r="C5" s="97"/>
      <c r="D5" s="97"/>
      <c r="E5" s="97"/>
      <c r="F5" s="97"/>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151</v>
      </c>
      <c r="C8" s="99"/>
      <c r="D8" s="99"/>
      <c r="E8" s="99"/>
      <c r="F8" s="100"/>
      <c r="G8" s="1"/>
    </row>
    <row r="9" spans="1:7" x14ac:dyDescent="0.25">
      <c r="A9" s="1"/>
      <c r="B9" s="55" t="s">
        <v>16</v>
      </c>
      <c r="C9" s="52" t="s">
        <v>10</v>
      </c>
      <c r="D9" s="27"/>
      <c r="E9" s="52" t="s">
        <v>26</v>
      </c>
      <c r="F9" s="27"/>
      <c r="G9" s="1"/>
    </row>
    <row r="10" spans="1:7" x14ac:dyDescent="0.25">
      <c r="A10" s="1"/>
      <c r="B10" s="60" t="s">
        <v>190</v>
      </c>
      <c r="C10" s="9">
        <v>0</v>
      </c>
      <c r="D10" s="14" t="s">
        <v>3</v>
      </c>
      <c r="E10" s="9">
        <v>0</v>
      </c>
      <c r="F10" s="14" t="s">
        <v>3</v>
      </c>
      <c r="G10" s="1"/>
    </row>
    <row r="11" spans="1:7" x14ac:dyDescent="0.25">
      <c r="A11" s="1"/>
      <c r="B11" s="53" t="s">
        <v>122</v>
      </c>
      <c r="C11" s="12">
        <f>SUM(C10:C10)</f>
        <v>0</v>
      </c>
      <c r="D11" s="13" t="s">
        <v>3</v>
      </c>
      <c r="E11" s="12">
        <f>SUM(E10:E10)</f>
        <v>0</v>
      </c>
      <c r="F11" s="13" t="s">
        <v>3</v>
      </c>
      <c r="G11" s="1"/>
    </row>
    <row r="12" spans="1:7" x14ac:dyDescent="0.25">
      <c r="A12" s="1"/>
      <c r="B12" s="53" t="s">
        <v>188</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EdJ3QsYlwP0Bm6rwiutdlmNVdNKA0njfxmbi1LbfBZTNgn6ad/sL8/wK0atuqIlq8EpROLuonfbgZuGFIWak7g==" saltValue="zErqMx035GtLdmG/q7o65w=="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28515625" style="2" hidden="1"/>
  </cols>
  <sheetData>
    <row r="1" spans="1:4" x14ac:dyDescent="0.25">
      <c r="A1" s="1"/>
      <c r="B1" s="1"/>
      <c r="C1" s="34"/>
      <c r="D1" s="1"/>
    </row>
    <row r="2" spans="1:4" x14ac:dyDescent="0.25">
      <c r="A2" s="1"/>
      <c r="B2" s="1"/>
      <c r="C2" s="34"/>
      <c r="D2" s="1"/>
    </row>
    <row r="3" spans="1:4" ht="15" customHeight="1" x14ac:dyDescent="0.25">
      <c r="A3" s="1"/>
      <c r="B3" s="97" t="s">
        <v>95</v>
      </c>
      <c r="C3" s="97"/>
      <c r="D3" s="1"/>
    </row>
    <row r="4" spans="1:4" ht="15" customHeight="1" x14ac:dyDescent="0.25">
      <c r="A4" s="1"/>
      <c r="B4" s="97"/>
      <c r="C4" s="97"/>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3" t="s">
        <v>13</v>
      </c>
      <c r="C8" s="35"/>
      <c r="D8" s="1"/>
    </row>
    <row r="9" spans="1:4" x14ac:dyDescent="0.25">
      <c r="A9" s="1"/>
      <c r="B9" s="43" t="s">
        <v>186</v>
      </c>
      <c r="C9" s="49">
        <v>3.56E-2</v>
      </c>
      <c r="D9" s="1"/>
    </row>
    <row r="10" spans="1:4" x14ac:dyDescent="0.25">
      <c r="A10" s="1"/>
      <c r="B10" s="43" t="s">
        <v>185</v>
      </c>
      <c r="C10" s="49">
        <v>8.0799999999999997E-2</v>
      </c>
      <c r="D10" s="1"/>
    </row>
    <row r="11" spans="1:4" x14ac:dyDescent="0.25">
      <c r="A11" s="1"/>
      <c r="B11" s="43" t="s">
        <v>197</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3" t="s">
        <v>44</v>
      </c>
      <c r="C15" s="35"/>
      <c r="D15" s="1"/>
    </row>
    <row r="16" spans="1:4" x14ac:dyDescent="0.25">
      <c r="A16" s="1"/>
      <c r="B16" s="43" t="s">
        <v>187</v>
      </c>
      <c r="C16" s="37">
        <v>0</v>
      </c>
      <c r="D16" s="1"/>
    </row>
    <row r="17" spans="1:4" x14ac:dyDescent="0.25">
      <c r="A17" s="1"/>
      <c r="B17" s="43" t="s">
        <v>111</v>
      </c>
      <c r="C17" s="37">
        <v>0</v>
      </c>
      <c r="D17" s="1"/>
    </row>
    <row r="18" spans="1:4" x14ac:dyDescent="0.25">
      <c r="A18" s="1"/>
      <c r="B18" s="43" t="s">
        <v>198</v>
      </c>
      <c r="C18" s="64">
        <v>0</v>
      </c>
      <c r="D18" s="1"/>
    </row>
    <row r="19" spans="1:4" x14ac:dyDescent="0.25">
      <c r="A19" s="1"/>
      <c r="B19" s="53"/>
      <c r="C19" s="35"/>
      <c r="D19" s="1"/>
    </row>
    <row r="20" spans="1:4" x14ac:dyDescent="0.25">
      <c r="A20" s="1"/>
      <c r="B20" s="1"/>
      <c r="C20" s="34"/>
      <c r="D20" s="1"/>
    </row>
    <row r="21" spans="1:4" x14ac:dyDescent="0.25">
      <c r="A21" s="1"/>
      <c r="B21" s="1"/>
      <c r="C21" s="34"/>
      <c r="D21" s="1"/>
    </row>
    <row r="22" spans="1:4" x14ac:dyDescent="0.25">
      <c r="A22" s="1"/>
      <c r="B22" s="53" t="s">
        <v>45</v>
      </c>
      <c r="C22" s="35"/>
      <c r="D22" s="1"/>
    </row>
    <row r="23" spans="1:4" x14ac:dyDescent="0.25">
      <c r="A23" s="1"/>
      <c r="B23" s="28" t="s">
        <v>56</v>
      </c>
      <c r="C23" s="36">
        <v>0.02</v>
      </c>
      <c r="D23" s="1"/>
    </row>
    <row r="24" spans="1:4" x14ac:dyDescent="0.25">
      <c r="A24" s="1"/>
      <c r="B24" s="53"/>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Zd5fcYrTEeVKbEC2UYq6rxLMRoeyoMcOd7ajeFOSm0krkGPSIcI7BU3X61SoiI9IaT+tFewZ+sFU45Hip7GOvQ==" saltValue="YNaFRMwDWQu8pFHg8DxqKg=="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51"/>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3" t="s">
        <v>12</v>
      </c>
      <c r="C8" s="54"/>
      <c r="D8" s="19"/>
      <c r="E8" s="1"/>
    </row>
    <row r="9" spans="1:5" x14ac:dyDescent="0.25">
      <c r="A9" s="1"/>
      <c r="B9" s="47" t="s">
        <v>68</v>
      </c>
      <c r="C9" s="7">
        <f>'Fane 3. Omkostninger i ØR2024'!C20</f>
        <v>392725466.86699915</v>
      </c>
      <c r="D9" s="8" t="s">
        <v>3</v>
      </c>
      <c r="E9" s="1"/>
    </row>
    <row r="10" spans="1:5" ht="17.100000000000001" customHeight="1" x14ac:dyDescent="0.25">
      <c r="A10" s="1"/>
      <c r="B10" s="24" t="s">
        <v>32</v>
      </c>
      <c r="C10" s="7">
        <f>'Fane 10.1. Varige tillæg'!C42</f>
        <v>13399464.883400001</v>
      </c>
      <c r="D10" s="8" t="s">
        <v>3</v>
      </c>
      <c r="E10" s="1"/>
    </row>
    <row r="11" spans="1:5" ht="17.100000000000001" customHeight="1" x14ac:dyDescent="0.25">
      <c r="A11" s="1"/>
      <c r="B11" s="24" t="s">
        <v>33</v>
      </c>
      <c r="C11" s="9">
        <f>'Fane 10.1. Varige tillæg'!E42</f>
        <v>651379.21140000003</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26969269.416767284</v>
      </c>
      <c r="D16" s="8" t="s">
        <v>3</v>
      </c>
      <c r="E16" s="1"/>
    </row>
    <row r="17" spans="1:5" ht="17.100000000000001" customHeight="1" x14ac:dyDescent="0.25">
      <c r="A17" s="1"/>
      <c r="B17" s="24" t="s">
        <v>9</v>
      </c>
      <c r="C17" s="9">
        <f>-SUM(C9:C16)*'Fane 5. Individuelt eff. krav'!C9</f>
        <v>0</v>
      </c>
      <c r="D17" s="8" t="s">
        <v>3</v>
      </c>
      <c r="E17" s="1"/>
    </row>
    <row r="18" spans="1:5" ht="17.100000000000001" customHeight="1" x14ac:dyDescent="0.25">
      <c r="A18" s="1"/>
      <c r="B18" s="24" t="s">
        <v>21</v>
      </c>
      <c r="C18" s="9">
        <f>-'Fane 4.1. Gen. krav - drift'!C17</f>
        <v>-5142252.3993715718</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428603327.97919488</v>
      </c>
      <c r="D20" s="11" t="s">
        <v>3</v>
      </c>
      <c r="E20" s="1"/>
    </row>
    <row r="21" spans="1:5" ht="15" customHeight="1" x14ac:dyDescent="0.25">
      <c r="A21" s="1"/>
      <c r="B21" s="53" t="s">
        <v>11</v>
      </c>
      <c r="C21" s="54"/>
      <c r="D21" s="19"/>
      <c r="E21" s="1"/>
    </row>
    <row r="22" spans="1:5" ht="15" customHeight="1" x14ac:dyDescent="0.25">
      <c r="A22" s="1"/>
      <c r="B22" s="55" t="s">
        <v>11</v>
      </c>
      <c r="C22" s="10">
        <f>'Fane 6. Ikke-påvirkelige omk.'!C20</f>
        <v>234185842.5336962</v>
      </c>
      <c r="D22" s="11" t="s">
        <v>3</v>
      </c>
      <c r="E22" s="1"/>
    </row>
    <row r="23" spans="1:5" ht="15" customHeight="1" x14ac:dyDescent="0.25">
      <c r="A23" s="1"/>
      <c r="B23" s="53" t="s">
        <v>39</v>
      </c>
      <c r="C23" s="54"/>
      <c r="D23" s="19"/>
      <c r="E23" s="1"/>
    </row>
    <row r="24" spans="1:5" ht="15" customHeight="1" x14ac:dyDescent="0.25">
      <c r="A24" s="1"/>
      <c r="B24" s="24" t="s">
        <v>35</v>
      </c>
      <c r="C24" s="9">
        <f>'Fane 10.2. Engangstillæg'!C20</f>
        <v>1421701.6847673799</v>
      </c>
      <c r="D24" s="8" t="s">
        <v>3</v>
      </c>
      <c r="E24" s="1"/>
    </row>
    <row r="25" spans="1:5" ht="15" customHeight="1" x14ac:dyDescent="0.25">
      <c r="A25" s="1"/>
      <c r="B25" s="24" t="s">
        <v>36</v>
      </c>
      <c r="C25" s="9">
        <f>'Fane 10.2. Engangstillæg'!E20</f>
        <v>0</v>
      </c>
      <c r="D25" s="8" t="s">
        <v>3</v>
      </c>
      <c r="E25" s="1"/>
    </row>
    <row r="26" spans="1:5" ht="15" customHeight="1" x14ac:dyDescent="0.25">
      <c r="A26" s="1"/>
      <c r="B26" s="24" t="s">
        <v>79</v>
      </c>
      <c r="C26" s="9">
        <f>-C24*('Fane 13. Nøgletal'!C23+'Fane 5. Individuelt eff. krav'!C9)</f>
        <v>-28434.0336953476</v>
      </c>
      <c r="D26" s="8" t="s">
        <v>3</v>
      </c>
      <c r="E26" s="1"/>
    </row>
    <row r="27" spans="1:5" ht="15" customHeight="1" x14ac:dyDescent="0.25">
      <c r="A27" s="1"/>
      <c r="B27" s="24" t="s">
        <v>80</v>
      </c>
      <c r="C27" s="9">
        <f>-C25*('Fane 13. Nøgletal'!C18+'Fane 5. Individuelt eff. krav'!C9)</f>
        <v>0</v>
      </c>
      <c r="D27" s="8" t="s">
        <v>3</v>
      </c>
      <c r="E27" s="1"/>
    </row>
    <row r="28" spans="1:5" x14ac:dyDescent="0.25">
      <c r="A28" s="1"/>
      <c r="B28" s="74" t="s">
        <v>40</v>
      </c>
      <c r="C28" s="50">
        <f>SUM(C24:C27)</f>
        <v>1393267.6510720323</v>
      </c>
      <c r="D28" s="11" t="s">
        <v>3</v>
      </c>
      <c r="E28" s="1"/>
    </row>
    <row r="29" spans="1:5" ht="15" customHeight="1" x14ac:dyDescent="0.25">
      <c r="A29" s="1"/>
      <c r="B29" s="25" t="s">
        <v>65</v>
      </c>
      <c r="C29" s="54"/>
      <c r="D29" s="19"/>
      <c r="E29" s="1"/>
    </row>
    <row r="30" spans="1:5" x14ac:dyDescent="0.25">
      <c r="A30" s="1"/>
      <c r="B30" s="58" t="s">
        <v>66</v>
      </c>
      <c r="C30" s="10">
        <f>'Fane 7. Kontrol af ØR2023'!C30</f>
        <v>-21509199.530974209</v>
      </c>
      <c r="D30" s="11" t="s">
        <v>3</v>
      </c>
      <c r="E30" s="1"/>
    </row>
    <row r="31" spans="1:5" x14ac:dyDescent="0.25">
      <c r="A31" s="1"/>
      <c r="B31" s="25" t="s">
        <v>70</v>
      </c>
      <c r="C31" s="54"/>
      <c r="D31" s="19"/>
      <c r="E31" s="1"/>
    </row>
    <row r="32" spans="1:5" x14ac:dyDescent="0.25">
      <c r="A32" s="1"/>
      <c r="B32" s="58" t="s">
        <v>71</v>
      </c>
      <c r="C32" s="10">
        <f>'Fane 8. Skattesagen'!C14</f>
        <v>0</v>
      </c>
      <c r="D32" s="11" t="s">
        <v>3</v>
      </c>
      <c r="E32" s="1"/>
    </row>
    <row r="33" spans="1:5" x14ac:dyDescent="0.25">
      <c r="A33" s="1"/>
      <c r="B33" s="25" t="s">
        <v>192</v>
      </c>
      <c r="C33" s="54"/>
      <c r="D33" s="19"/>
      <c r="E33" s="1"/>
    </row>
    <row r="34" spans="1:5" x14ac:dyDescent="0.25">
      <c r="A34" s="1"/>
      <c r="B34" s="58" t="s">
        <v>193</v>
      </c>
      <c r="C34" s="10">
        <v>3390512.3475196427</v>
      </c>
      <c r="D34" s="11" t="s">
        <v>3</v>
      </c>
      <c r="E34" s="1"/>
    </row>
    <row r="35" spans="1:5" x14ac:dyDescent="0.25">
      <c r="A35" s="1"/>
      <c r="B35" s="53" t="s">
        <v>69</v>
      </c>
      <c r="C35" s="29">
        <f>SUM(C20,C22,C28,C30,C32,C34)</f>
        <v>646063750.98050857</v>
      </c>
      <c r="D35" s="19" t="s">
        <v>3</v>
      </c>
      <c r="E35" s="1"/>
    </row>
    <row r="36" spans="1:5" x14ac:dyDescent="0.25">
      <c r="A36" s="1"/>
      <c r="B36" s="1" t="s">
        <v>82</v>
      </c>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x14ac:dyDescent="0.25">
      <c r="A51" s="1"/>
      <c r="B51" s="1"/>
      <c r="C51" s="1"/>
      <c r="D51" s="1"/>
      <c r="E51" s="1"/>
    </row>
  </sheetData>
  <sheetProtection algorithmName="SHA-512" hashValue="M57cux53PJ7FPH9R0OXer6qEymX7tmudGvbiEfEdeooVCvOwy9Ee3F7/ZkGbK67u1WiUMgP8Jrqz2slxVOL6kg==" saltValue="nAkqa2A6EN7+5ozDVDkeL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7"/>
      <c r="C6" s="67"/>
      <c r="D6" s="67"/>
      <c r="E6" s="1"/>
    </row>
    <row r="7" spans="1:5" x14ac:dyDescent="0.25">
      <c r="A7" s="1"/>
      <c r="B7" s="1"/>
      <c r="C7" s="1"/>
      <c r="D7" s="1"/>
      <c r="E7" s="1"/>
    </row>
    <row r="8" spans="1:5" x14ac:dyDescent="0.25">
      <c r="A8" s="1"/>
      <c r="B8" s="53" t="s">
        <v>12</v>
      </c>
      <c r="C8" s="54"/>
      <c r="D8" s="19"/>
      <c r="E8" s="1"/>
    </row>
    <row r="9" spans="1:5" ht="15" customHeight="1" x14ac:dyDescent="0.25">
      <c r="A9" s="1"/>
      <c r="B9" s="47" t="s">
        <v>72</v>
      </c>
      <c r="C9" s="7">
        <f>'Fane 2.1. Økonomisk ramme 2025'!C20</f>
        <v>428603327.97919488</v>
      </c>
      <c r="D9" s="8" t="s">
        <v>3</v>
      </c>
      <c r="E9" s="1"/>
    </row>
    <row r="10" spans="1:5" ht="15" customHeight="1" x14ac:dyDescent="0.25">
      <c r="A10" s="1"/>
      <c r="B10" s="51" t="s">
        <v>17</v>
      </c>
      <c r="C10" s="41">
        <f>C9*'Fane 13. Nøgletal'!C11</f>
        <v>28416400.645020619</v>
      </c>
      <c r="D10" s="8" t="s">
        <v>3</v>
      </c>
      <c r="E10" s="1"/>
    </row>
    <row r="11" spans="1:5" ht="15" customHeight="1" x14ac:dyDescent="0.25">
      <c r="A11" s="1"/>
      <c r="B11" s="51" t="s">
        <v>9</v>
      </c>
      <c r="C11" s="9">
        <f>-SUM(C9:C10)*'Fane 5. Individuelt eff. krav'!C9</f>
        <v>0</v>
      </c>
      <c r="D11" s="8" t="s">
        <v>3</v>
      </c>
      <c r="E11" s="1"/>
    </row>
    <row r="12" spans="1:5" ht="15" customHeight="1" x14ac:dyDescent="0.25">
      <c r="A12" s="1"/>
      <c r="B12" s="51" t="s">
        <v>21</v>
      </c>
      <c r="C12" s="9">
        <f>-'Fane 4.1. Gen. krav - drift'!C22</f>
        <v>-5373520.0587809086</v>
      </c>
      <c r="D12" s="8" t="s">
        <v>3</v>
      </c>
      <c r="E12" s="1"/>
    </row>
    <row r="13" spans="1:5" ht="15" customHeight="1" x14ac:dyDescent="0.25">
      <c r="A13" s="1"/>
      <c r="B13" s="51" t="s">
        <v>22</v>
      </c>
      <c r="C13" s="9">
        <f>-'Fane 4.2. Gen. krav - anlæg'!C22</f>
        <v>0</v>
      </c>
      <c r="D13" s="8" t="s">
        <v>3</v>
      </c>
      <c r="E13" s="1"/>
    </row>
    <row r="14" spans="1:5" ht="15" customHeight="1" x14ac:dyDescent="0.25">
      <c r="A14" s="1"/>
      <c r="B14" s="52" t="s">
        <v>19</v>
      </c>
      <c r="C14" s="10">
        <f>SUM(C9:C13)</f>
        <v>451646208.56543458</v>
      </c>
      <c r="D14" s="11" t="s">
        <v>3</v>
      </c>
      <c r="E14" s="1"/>
    </row>
    <row r="15" spans="1:5" x14ac:dyDescent="0.25">
      <c r="A15" s="1"/>
      <c r="B15" s="53" t="s">
        <v>11</v>
      </c>
      <c r="C15" s="54"/>
      <c r="D15" s="19"/>
      <c r="E15" s="1"/>
    </row>
    <row r="16" spans="1:5" ht="15" customHeight="1" x14ac:dyDescent="0.25">
      <c r="A16" s="1"/>
      <c r="B16" s="55" t="s">
        <v>11</v>
      </c>
      <c r="C16" s="10">
        <f>'Fane 6. Ikke-påvirkelige omk.'!C20*(1+'Fane 13. Nøgletal'!C11)</f>
        <v>249712363.89368027</v>
      </c>
      <c r="D16" s="11" t="s">
        <v>3</v>
      </c>
      <c r="E16" s="1"/>
    </row>
    <row r="17" spans="1:5" x14ac:dyDescent="0.25">
      <c r="A17" s="1"/>
      <c r="B17" s="25" t="s">
        <v>65</v>
      </c>
      <c r="C17" s="54"/>
      <c r="D17" s="19"/>
      <c r="E17" s="1"/>
    </row>
    <row r="18" spans="1:5" ht="15" customHeight="1" x14ac:dyDescent="0.25">
      <c r="A18" s="1"/>
      <c r="B18" s="45" t="s">
        <v>66</v>
      </c>
      <c r="C18" s="10">
        <f>'Fane 7. Kontrol af ØR2023'!C30</f>
        <v>-21509199.530974209</v>
      </c>
      <c r="D18" s="11" t="s">
        <v>3</v>
      </c>
      <c r="E18" s="1"/>
    </row>
    <row r="19" spans="1:5" x14ac:dyDescent="0.25">
      <c r="A19" s="1"/>
      <c r="B19" s="25" t="s">
        <v>70</v>
      </c>
      <c r="C19" s="54"/>
      <c r="D19" s="19"/>
      <c r="E19" s="1"/>
    </row>
    <row r="20" spans="1:5" x14ac:dyDescent="0.25">
      <c r="A20" s="1"/>
      <c r="B20" s="58" t="s">
        <v>71</v>
      </c>
      <c r="C20" s="10">
        <f>'Fane 8. Skattesagen'!C15</f>
        <v>0</v>
      </c>
      <c r="D20" s="11" t="s">
        <v>3</v>
      </c>
      <c r="E20" s="1"/>
    </row>
    <row r="21" spans="1:5" x14ac:dyDescent="0.25">
      <c r="A21" s="1"/>
      <c r="B21" s="53" t="s">
        <v>73</v>
      </c>
      <c r="C21" s="12">
        <f>SUM(C14,C16,C18,C20)</f>
        <v>679849372.92814064</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JWU/Rw5j2r0PcraXtOgPwCsI5/+c0MLzu57ROlp20WMNOEpMqkpI9xsPhNpsq6d972sVoDP64ao6X0vn/zWrbw==" saltValue="9GpgkKSQ9ULsCjjBZYU88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3" t="s">
        <v>12</v>
      </c>
      <c r="C8" s="54"/>
      <c r="D8" s="19"/>
      <c r="E8" s="1"/>
    </row>
    <row r="9" spans="1:5" ht="15" customHeight="1" x14ac:dyDescent="0.25">
      <c r="A9" s="1"/>
      <c r="B9" s="47" t="s">
        <v>108</v>
      </c>
      <c r="C9" s="7">
        <f>'Fane 2.2. Økonomisk ramme 2026'!C14</f>
        <v>451646208.56543458</v>
      </c>
      <c r="D9" s="8" t="s">
        <v>3</v>
      </c>
      <c r="E9" s="1"/>
    </row>
    <row r="10" spans="1:5" ht="15" customHeight="1" x14ac:dyDescent="0.25">
      <c r="A10" s="1"/>
      <c r="B10" s="51" t="s">
        <v>17</v>
      </c>
      <c r="C10" s="41">
        <f>C9*'Fane 13. Nøgletal'!C11</f>
        <v>29944143.627888311</v>
      </c>
      <c r="D10" s="8" t="s">
        <v>3</v>
      </c>
      <c r="E10" s="1"/>
    </row>
    <row r="11" spans="1:5" ht="15" customHeight="1" x14ac:dyDescent="0.25">
      <c r="A11" s="1"/>
      <c r="B11" s="51" t="s">
        <v>9</v>
      </c>
      <c r="C11" s="9">
        <f>-SUM(C9:C10)*'Fane 5. Individuelt eff. krav'!C9</f>
        <v>0</v>
      </c>
      <c r="D11" s="8" t="s">
        <v>3</v>
      </c>
      <c r="E11" s="1"/>
    </row>
    <row r="12" spans="1:5" ht="15" customHeight="1" x14ac:dyDescent="0.25">
      <c r="A12" s="1"/>
      <c r="B12" s="51" t="s">
        <v>21</v>
      </c>
      <c r="C12" s="9">
        <f>-'Fane 4.1. Gen. krav - drift'!C27</f>
        <v>-5615188.7499045217</v>
      </c>
      <c r="D12" s="8" t="s">
        <v>3</v>
      </c>
      <c r="E12" s="1"/>
    </row>
    <row r="13" spans="1:5" ht="15" customHeight="1" x14ac:dyDescent="0.25">
      <c r="A13" s="1"/>
      <c r="B13" s="51" t="s">
        <v>22</v>
      </c>
      <c r="C13" s="9">
        <f>-'Fane 4.2. Gen. krav - anlæg'!C27</f>
        <v>0</v>
      </c>
      <c r="D13" s="8" t="s">
        <v>3</v>
      </c>
      <c r="E13" s="1"/>
    </row>
    <row r="14" spans="1:5" ht="15" customHeight="1" x14ac:dyDescent="0.25">
      <c r="A14" s="1"/>
      <c r="B14" s="52" t="s">
        <v>19</v>
      </c>
      <c r="C14" s="10">
        <f>SUM(C9:C13)</f>
        <v>475975163.44341838</v>
      </c>
      <c r="D14" s="11" t="s">
        <v>3</v>
      </c>
      <c r="E14" s="1"/>
    </row>
    <row r="15" spans="1:5" x14ac:dyDescent="0.25">
      <c r="A15" s="1"/>
      <c r="B15" s="53" t="s">
        <v>11</v>
      </c>
      <c r="C15" s="54"/>
      <c r="D15" s="19"/>
      <c r="E15" s="1"/>
    </row>
    <row r="16" spans="1:5" ht="15" customHeight="1" x14ac:dyDescent="0.25">
      <c r="A16" s="1"/>
      <c r="B16" s="55" t="s">
        <v>11</v>
      </c>
      <c r="C16" s="10">
        <f>'Fane 6. Ikke-påvirkelige omk.'!C20*(1+'Fane 13. Nøgletal'!C11)^2</f>
        <v>266268293.61983126</v>
      </c>
      <c r="D16" s="11" t="s">
        <v>3</v>
      </c>
      <c r="E16" s="1"/>
    </row>
    <row r="17" spans="1:5" x14ac:dyDescent="0.25">
      <c r="A17" s="1"/>
      <c r="B17" s="25" t="s">
        <v>65</v>
      </c>
      <c r="C17" s="54"/>
      <c r="D17" s="19"/>
      <c r="E17" s="1"/>
    </row>
    <row r="18" spans="1:5" ht="15" customHeight="1" x14ac:dyDescent="0.25">
      <c r="A18" s="1"/>
      <c r="B18" s="45" t="s">
        <v>66</v>
      </c>
      <c r="C18" s="10">
        <v>0</v>
      </c>
      <c r="D18" s="11" t="s">
        <v>3</v>
      </c>
      <c r="E18" s="1"/>
    </row>
    <row r="19" spans="1:5" x14ac:dyDescent="0.25">
      <c r="A19" s="1"/>
      <c r="B19" s="53" t="s">
        <v>70</v>
      </c>
      <c r="C19" s="54"/>
      <c r="D19" s="19"/>
      <c r="E19" s="1"/>
    </row>
    <row r="20" spans="1:5" x14ac:dyDescent="0.25">
      <c r="A20" s="1"/>
      <c r="B20" s="58" t="s">
        <v>71</v>
      </c>
      <c r="C20" s="10">
        <f>'Fane 8. Skattesagen'!C16</f>
        <v>0</v>
      </c>
      <c r="D20" s="11" t="s">
        <v>3</v>
      </c>
      <c r="E20" s="1"/>
    </row>
    <row r="21" spans="1:5" x14ac:dyDescent="0.25">
      <c r="A21" s="1"/>
      <c r="B21" s="53" t="s">
        <v>109</v>
      </c>
      <c r="C21" s="12">
        <f>SUM(C14,C16,C18,C20)</f>
        <v>742243457.06324959</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fd+5mWwsq7HVC+bWaZGiALkXYV6LqIVbUo+nSjG8MILtE8s8u28Bw5cHbvJvuuked0vay/Xephs1Tyhef2FRtg==" saltValue="a3n5FndOefxx3FpfVNH70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3" t="s">
        <v>12</v>
      </c>
      <c r="C8" s="54"/>
      <c r="D8" s="19"/>
      <c r="E8" s="1"/>
    </row>
    <row r="9" spans="1:5" ht="15" customHeight="1" x14ac:dyDescent="0.25">
      <c r="A9" s="1"/>
      <c r="B9" s="47" t="s">
        <v>132</v>
      </c>
      <c r="C9" s="7">
        <f>'Fane 2.3. Økonomisk ramme 2027'!C14</f>
        <v>475975163.44341838</v>
      </c>
      <c r="D9" s="8" t="s">
        <v>3</v>
      </c>
      <c r="E9" s="1"/>
    </row>
    <row r="10" spans="1:5" ht="15" customHeight="1" x14ac:dyDescent="0.25">
      <c r="A10" s="1"/>
      <c r="B10" s="51" t="s">
        <v>17</v>
      </c>
      <c r="C10" s="9">
        <f>C9*'Fane 13. Nøgletal'!C11</f>
        <v>31557153.336298637</v>
      </c>
      <c r="D10" s="8" t="s">
        <v>3</v>
      </c>
      <c r="E10" s="1"/>
    </row>
    <row r="11" spans="1:5" ht="15" customHeight="1" x14ac:dyDescent="0.25">
      <c r="A11" s="1"/>
      <c r="B11" s="51" t="s">
        <v>9</v>
      </c>
      <c r="C11" s="9">
        <f>-SUM(C9:C10)*'Fane 5. Individuelt eff. krav'!C9</f>
        <v>0</v>
      </c>
      <c r="D11" s="8" t="s">
        <v>3</v>
      </c>
      <c r="E11" s="1"/>
    </row>
    <row r="12" spans="1:5" ht="15" customHeight="1" x14ac:dyDescent="0.25">
      <c r="A12" s="1"/>
      <c r="B12" s="51" t="s">
        <v>21</v>
      </c>
      <c r="C12" s="9">
        <f>-'Fane 4.1. Gen. krav - drift'!C32</f>
        <v>-5867726.2487427285</v>
      </c>
      <c r="D12" s="8" t="s">
        <v>3</v>
      </c>
      <c r="E12" s="1"/>
    </row>
    <row r="13" spans="1:5" ht="15" customHeight="1" x14ac:dyDescent="0.25">
      <c r="A13" s="1"/>
      <c r="B13" s="51" t="s">
        <v>22</v>
      </c>
      <c r="C13" s="9">
        <f>-'Fane 4.2. Gen. krav - anlæg'!C32</f>
        <v>0</v>
      </c>
      <c r="D13" s="8" t="s">
        <v>3</v>
      </c>
      <c r="E13" s="1"/>
    </row>
    <row r="14" spans="1:5" x14ac:dyDescent="0.25">
      <c r="A14" s="1"/>
      <c r="B14" s="52" t="s">
        <v>19</v>
      </c>
      <c r="C14" s="10">
        <f>SUM(C9:C13)</f>
        <v>501664590.53097433</v>
      </c>
      <c r="D14" s="11" t="s">
        <v>3</v>
      </c>
      <c r="E14" s="1"/>
    </row>
    <row r="15" spans="1:5" x14ac:dyDescent="0.25">
      <c r="A15" s="1"/>
      <c r="B15" s="53" t="s">
        <v>11</v>
      </c>
      <c r="C15" s="54"/>
      <c r="D15" s="19"/>
      <c r="E15" s="1"/>
    </row>
    <row r="16" spans="1:5" ht="15" customHeight="1" x14ac:dyDescent="0.25">
      <c r="A16" s="1"/>
      <c r="B16" s="55" t="s">
        <v>11</v>
      </c>
      <c r="C16" s="10">
        <f>'Fane 6. Ikke-påvirkelige omk.'!C20*(1+'Fane 13. Nøgletal'!C11)^3</f>
        <v>283921881.48682612</v>
      </c>
      <c r="D16" s="11" t="s">
        <v>3</v>
      </c>
      <c r="E16" s="1"/>
    </row>
    <row r="17" spans="1:5" x14ac:dyDescent="0.25">
      <c r="A17" s="1"/>
      <c r="B17" s="25" t="s">
        <v>70</v>
      </c>
      <c r="C17" s="54"/>
      <c r="D17" s="19"/>
      <c r="E17" s="1"/>
    </row>
    <row r="18" spans="1:5" x14ac:dyDescent="0.25">
      <c r="A18" s="1"/>
      <c r="B18" s="58" t="s">
        <v>71</v>
      </c>
      <c r="C18" s="10">
        <f>'Fane 8. Skattesagen'!C17</f>
        <v>0</v>
      </c>
      <c r="D18" s="11" t="s">
        <v>3</v>
      </c>
      <c r="E18" s="1"/>
    </row>
    <row r="19" spans="1:5" x14ac:dyDescent="0.25">
      <c r="A19" s="1"/>
      <c r="B19" s="53" t="s">
        <v>133</v>
      </c>
      <c r="C19" s="12">
        <f>SUM(C14,C16,C18)</f>
        <v>785586472.01780045</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urv89lt57xUwi/gtJoZS9Sxgg2CWGcrUwOKLHmIoHtE+2BWiAZwk+iX63n8+wVds8wwDgFLPdMStcW3jgvX9Pw==" saltValue="dNMOgXTrCaLVtFD+NiC98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1"/>
  <sheetViews>
    <sheetView showGridLines="0" zoomScaleNormal="100" workbookViewId="0"/>
  </sheetViews>
  <sheetFormatPr defaultColWidth="0" defaultRowHeight="15" zeroHeight="1" x14ac:dyDescent="0.25"/>
  <cols>
    <col min="1" max="1" width="6.7109375" style="2" customWidth="1"/>
    <col min="2" max="2" width="54.28515625" style="2" customWidth="1"/>
    <col min="3" max="3" width="14.7109375" style="2" customWidth="1"/>
    <col min="4" max="4" width="3.5703125" style="2" customWidth="1"/>
    <col min="5" max="5" width="6.7109375" style="2" customWidth="1"/>
    <col min="6" max="16384" width="9.28515625" style="2" hidden="1"/>
  </cols>
  <sheetData>
    <row r="1" spans="1:5" x14ac:dyDescent="0.25">
      <c r="A1" s="1"/>
      <c r="B1" s="1"/>
      <c r="C1" s="1"/>
      <c r="D1" s="1"/>
      <c r="E1" s="1"/>
    </row>
    <row r="2" spans="1:5" x14ac:dyDescent="0.25">
      <c r="A2" s="1"/>
      <c r="B2" s="1"/>
      <c r="C2" s="1"/>
      <c r="D2" s="1"/>
      <c r="E2" s="1"/>
    </row>
    <row r="3" spans="1:5" ht="25.15" customHeight="1" x14ac:dyDescent="0.25">
      <c r="A3" s="1"/>
      <c r="B3" s="97" t="s">
        <v>134</v>
      </c>
      <c r="C3" s="97"/>
      <c r="D3" s="97"/>
      <c r="E3" s="1"/>
    </row>
    <row r="4" spans="1:5" ht="15" customHeight="1" x14ac:dyDescent="0.25">
      <c r="A4" s="1"/>
      <c r="B4" s="97"/>
      <c r="C4" s="97"/>
      <c r="D4" s="97"/>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3" t="s">
        <v>135</v>
      </c>
      <c r="C8" s="54"/>
      <c r="D8" s="19"/>
      <c r="E8" s="1"/>
    </row>
    <row r="9" spans="1:5" x14ac:dyDescent="0.25">
      <c r="A9" s="1"/>
      <c r="B9" s="51" t="s">
        <v>63</v>
      </c>
      <c r="C9" s="7">
        <v>341087843.50246251</v>
      </c>
      <c r="D9" s="8" t="s">
        <v>3</v>
      </c>
      <c r="E9" s="1"/>
    </row>
    <row r="10" spans="1:5" ht="15" customHeight="1" x14ac:dyDescent="0.25">
      <c r="A10" s="1"/>
      <c r="B10" s="24" t="s">
        <v>32</v>
      </c>
      <c r="C10" s="7">
        <v>17385220.288800001</v>
      </c>
      <c r="D10" s="8" t="s">
        <v>3</v>
      </c>
      <c r="E10" s="1"/>
    </row>
    <row r="11" spans="1:5" ht="15" customHeight="1" x14ac:dyDescent="0.25">
      <c r="A11" s="1"/>
      <c r="B11" s="24" t="s">
        <v>33</v>
      </c>
      <c r="C11" s="9">
        <v>23457096.325599998</v>
      </c>
      <c r="D11" s="8" t="s">
        <v>3</v>
      </c>
      <c r="E11" s="1"/>
    </row>
    <row r="12" spans="1:5"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15442786.411131185</v>
      </c>
      <c r="D16" s="8" t="s">
        <v>3</v>
      </c>
      <c r="E16" s="1"/>
    </row>
    <row r="17" spans="1:5" x14ac:dyDescent="0.25">
      <c r="A17" s="1"/>
      <c r="B17" s="24" t="s">
        <v>9</v>
      </c>
      <c r="C17" s="9">
        <v>0</v>
      </c>
      <c r="D17" s="8" t="s">
        <v>3</v>
      </c>
      <c r="E17" s="1"/>
    </row>
    <row r="18" spans="1:5" x14ac:dyDescent="0.25">
      <c r="A18" s="1"/>
      <c r="B18" s="24" t="s">
        <v>21</v>
      </c>
      <c r="C18" s="9">
        <v>-4647479.6609946117</v>
      </c>
      <c r="D18" s="8" t="s">
        <v>3</v>
      </c>
      <c r="E18" s="1"/>
    </row>
    <row r="19" spans="1:5" x14ac:dyDescent="0.25">
      <c r="A19" s="1"/>
      <c r="B19" s="24" t="s">
        <v>22</v>
      </c>
      <c r="C19" s="9">
        <v>0</v>
      </c>
      <c r="D19" s="8" t="s">
        <v>3</v>
      </c>
      <c r="E19" s="1"/>
    </row>
    <row r="20" spans="1:5" x14ac:dyDescent="0.25">
      <c r="A20" s="1"/>
      <c r="B20" s="74" t="s">
        <v>19</v>
      </c>
      <c r="C20" s="10">
        <v>392725466.86699915</v>
      </c>
      <c r="D20" s="11" t="s">
        <v>3</v>
      </c>
      <c r="E20" s="1"/>
    </row>
    <row r="21" spans="1:5" x14ac:dyDescent="0.25">
      <c r="A21" s="1"/>
      <c r="B21" s="53" t="s">
        <v>11</v>
      </c>
      <c r="C21" s="54"/>
      <c r="D21" s="19"/>
      <c r="E21" s="1"/>
    </row>
    <row r="22" spans="1:5" x14ac:dyDescent="0.25">
      <c r="A22" s="1"/>
      <c r="B22" s="55" t="s">
        <v>11</v>
      </c>
      <c r="C22" s="10">
        <v>262043266.51737919</v>
      </c>
      <c r="D22" s="11" t="s">
        <v>3</v>
      </c>
      <c r="E22" s="1"/>
    </row>
    <row r="23" spans="1:5" ht="15" customHeight="1" x14ac:dyDescent="0.25">
      <c r="A23" s="1"/>
      <c r="B23" s="53" t="s">
        <v>39</v>
      </c>
      <c r="C23" s="54"/>
      <c r="D23" s="19"/>
      <c r="E23" s="1"/>
    </row>
    <row r="24" spans="1:5" ht="14.2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194</v>
      </c>
      <c r="C26" s="9">
        <v>0</v>
      </c>
      <c r="D26" s="8" t="s">
        <v>3</v>
      </c>
      <c r="E26" s="1"/>
    </row>
    <row r="27" spans="1:5" ht="14.25" customHeight="1" x14ac:dyDescent="0.25">
      <c r="A27" s="1"/>
      <c r="B27" s="63" t="s">
        <v>195</v>
      </c>
      <c r="C27" s="9">
        <v>0</v>
      </c>
      <c r="D27" s="8" t="s">
        <v>3</v>
      </c>
      <c r="E27" s="1"/>
    </row>
    <row r="28" spans="1:5" x14ac:dyDescent="0.25">
      <c r="A28" s="1"/>
      <c r="B28" s="74" t="s">
        <v>40</v>
      </c>
      <c r="C28" s="10">
        <v>0</v>
      </c>
      <c r="D28" s="11" t="s">
        <v>3</v>
      </c>
      <c r="E28" s="1"/>
    </row>
    <row r="29" spans="1:5" x14ac:dyDescent="0.25">
      <c r="A29" s="1"/>
      <c r="B29" s="25" t="s">
        <v>65</v>
      </c>
      <c r="C29" s="54"/>
      <c r="D29" s="19"/>
      <c r="E29" s="1"/>
    </row>
    <row r="30" spans="1:5" ht="15" customHeight="1" x14ac:dyDescent="0.25">
      <c r="A30" s="1"/>
      <c r="B30" s="58" t="s">
        <v>66</v>
      </c>
      <c r="C30" s="10">
        <v>-48678375</v>
      </c>
      <c r="D30" s="11" t="s">
        <v>3</v>
      </c>
      <c r="E30" s="1"/>
    </row>
    <row r="31" spans="1:5" ht="15.6" customHeight="1" x14ac:dyDescent="0.25">
      <c r="A31" s="1"/>
      <c r="B31" s="25" t="s">
        <v>70</v>
      </c>
      <c r="C31" s="54"/>
      <c r="D31" s="19"/>
      <c r="E31" s="1"/>
    </row>
    <row r="32" spans="1:5" ht="15.6" customHeight="1" x14ac:dyDescent="0.25">
      <c r="A32" s="1"/>
      <c r="B32" s="58" t="s">
        <v>71</v>
      </c>
      <c r="C32" s="10">
        <v>0</v>
      </c>
      <c r="D32" s="11" t="s">
        <v>3</v>
      </c>
      <c r="E32" s="1"/>
    </row>
    <row r="33" spans="1:5" ht="15.6" customHeight="1" x14ac:dyDescent="0.25">
      <c r="A33" s="1"/>
      <c r="B33" s="25" t="s">
        <v>192</v>
      </c>
      <c r="C33" s="54"/>
      <c r="D33" s="19"/>
      <c r="E33" s="1"/>
    </row>
    <row r="34" spans="1:5" ht="15.6" customHeight="1" x14ac:dyDescent="0.25">
      <c r="A34" s="1"/>
      <c r="B34" s="58" t="s">
        <v>193</v>
      </c>
      <c r="C34" s="10">
        <v>5120490.2747844234</v>
      </c>
      <c r="D34" s="11" t="s">
        <v>3</v>
      </c>
      <c r="E34" s="1"/>
    </row>
    <row r="35" spans="1:5" x14ac:dyDescent="0.25">
      <c r="A35" s="1"/>
      <c r="B35" s="53" t="s">
        <v>67</v>
      </c>
      <c r="C35" s="12">
        <v>611210848.65916276</v>
      </c>
      <c r="D35" s="13" t="s">
        <v>3</v>
      </c>
      <c r="E35" s="1"/>
    </row>
    <row r="36" spans="1:5" ht="30" customHeight="1" x14ac:dyDescent="0.25">
      <c r="A36" s="1"/>
      <c r="B36" s="96" t="s">
        <v>196</v>
      </c>
      <c r="C36" s="96"/>
      <c r="D36" s="96"/>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row r="51" spans="1:5" hidden="1" x14ac:dyDescent="0.25"/>
  </sheetData>
  <sheetProtection algorithmName="SHA-512" hashValue="3CfPcsrRDcopRVXCv17m57NcteRYlUSr0zxgWtX1+/yQSWeL0roffn5ZYUCC9wo7lgN1XS6C6W5ENmYRH9nhbg==" saltValue="3yCViIS/rRb7K/EAl5KiYw==" spinCount="100000" sheet="1" objects="1" scenarios="1"/>
  <mergeCells count="2">
    <mergeCell ref="B36:D36"/>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33"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32"/>
      <c r="D2" s="1"/>
      <c r="E2" s="1"/>
    </row>
    <row r="3" spans="1:5" ht="15" customHeight="1" x14ac:dyDescent="0.25">
      <c r="A3" s="1"/>
      <c r="B3" s="97" t="s">
        <v>53</v>
      </c>
      <c r="C3" s="97"/>
      <c r="D3" s="97"/>
      <c r="E3" s="1"/>
    </row>
    <row r="4" spans="1:5" ht="15" customHeight="1" x14ac:dyDescent="0.25">
      <c r="A4" s="1"/>
      <c r="B4" s="97"/>
      <c r="C4" s="97"/>
      <c r="D4" s="97"/>
      <c r="E4" s="1"/>
    </row>
    <row r="5" spans="1:5" ht="15" customHeight="1" x14ac:dyDescent="0.25">
      <c r="A5" s="1"/>
      <c r="B5" s="97"/>
      <c r="C5" s="97"/>
      <c r="D5" s="97"/>
      <c r="E5" s="1"/>
    </row>
    <row r="6" spans="1:5" ht="15" customHeight="1" x14ac:dyDescent="0.25">
      <c r="A6" s="1"/>
      <c r="B6" s="68"/>
      <c r="C6" s="68"/>
      <c r="D6" s="68"/>
      <c r="E6" s="1"/>
    </row>
    <row r="7" spans="1:5" x14ac:dyDescent="0.25">
      <c r="A7" s="1"/>
      <c r="B7" s="1"/>
      <c r="C7" s="32"/>
      <c r="D7" s="1"/>
      <c r="E7" s="1"/>
    </row>
    <row r="8" spans="1:5" x14ac:dyDescent="0.25">
      <c r="A8" s="1"/>
      <c r="B8" s="98" t="s">
        <v>75</v>
      </c>
      <c r="C8" s="99"/>
      <c r="D8" s="100"/>
      <c r="E8" s="1"/>
    </row>
    <row r="9" spans="1:5" x14ac:dyDescent="0.25">
      <c r="A9" s="1"/>
      <c r="B9" s="56" t="s">
        <v>166</v>
      </c>
      <c r="C9" s="22">
        <v>213584036.96159554</v>
      </c>
      <c r="D9" s="14" t="s">
        <v>3</v>
      </c>
      <c r="E9" s="1"/>
    </row>
    <row r="10" spans="1:5" x14ac:dyDescent="0.25">
      <c r="A10" s="1"/>
      <c r="B10" s="56" t="s">
        <v>110</v>
      </c>
      <c r="C10" s="22">
        <f>SUM('Fane 3. Omkostninger i ØR2024'!C10,'Fane 3. Omkostninger i ØR2024'!C12,'Fane 3. Omkostninger i ØR2024'!C14)*(1+'Fane 13. Nøgletal'!C10)</f>
        <v>18789946.088135041</v>
      </c>
      <c r="D10" s="14" t="s">
        <v>3</v>
      </c>
      <c r="E10" s="1"/>
    </row>
    <row r="11" spans="1:5" x14ac:dyDescent="0.25">
      <c r="A11" s="1"/>
      <c r="B11" s="56" t="s">
        <v>81</v>
      </c>
      <c r="C11" s="22">
        <f>C9*'Fane 13. Nøgletal'!C23+C10*'Fane 13. Nøgletal'!C23</f>
        <v>4647479.6609946117</v>
      </c>
      <c r="D11" s="14" t="s">
        <v>3</v>
      </c>
      <c r="E11" s="1"/>
    </row>
    <row r="12" spans="1:5" x14ac:dyDescent="0.25">
      <c r="A12" s="1"/>
      <c r="B12" s="53"/>
      <c r="C12" s="31"/>
      <c r="D12" s="19"/>
      <c r="E12" s="1"/>
    </row>
    <row r="13" spans="1:5" x14ac:dyDescent="0.25">
      <c r="A13" s="1"/>
      <c r="B13" s="1"/>
      <c r="C13" s="32"/>
      <c r="D13" s="1"/>
      <c r="E13" s="1"/>
    </row>
    <row r="14" spans="1:5" x14ac:dyDescent="0.25">
      <c r="A14" s="1"/>
      <c r="B14" s="98" t="s">
        <v>152</v>
      </c>
      <c r="C14" s="99"/>
      <c r="D14" s="100"/>
      <c r="E14" s="1"/>
    </row>
    <row r="15" spans="1:5" x14ac:dyDescent="0.25">
      <c r="A15" s="1"/>
      <c r="B15" s="56" t="s">
        <v>167</v>
      </c>
      <c r="C15" s="22">
        <f>(C9+C10-C11)*(1+'Fane 13. Nøgletal'!C11)</f>
        <v>242824770.56340915</v>
      </c>
      <c r="D15" s="14" t="s">
        <v>3</v>
      </c>
      <c r="E15" s="1"/>
    </row>
    <row r="16" spans="1:5" x14ac:dyDescent="0.25">
      <c r="A16" s="1"/>
      <c r="B16" s="56" t="s">
        <v>153</v>
      </c>
      <c r="C16" s="22">
        <f>('Fane 2.1. Økonomisk ramme 2025'!C10+'Fane 2.1. Økonomisk ramme 2025'!C12+'Fane 2.1. Økonomisk ramme 2025'!C14)*(1+'Fane 13. Nøgletal'!C11)</f>
        <v>14287849.405169422</v>
      </c>
      <c r="D16" s="14" t="s">
        <v>3</v>
      </c>
      <c r="E16" s="1"/>
    </row>
    <row r="17" spans="1:5" x14ac:dyDescent="0.25">
      <c r="A17" s="1"/>
      <c r="B17" s="56" t="s">
        <v>154</v>
      </c>
      <c r="C17" s="22">
        <f>(C15+C16)*'Fane 13. Nøgletal'!C23</f>
        <v>5142252.3993715718</v>
      </c>
      <c r="D17" s="14" t="s">
        <v>3</v>
      </c>
      <c r="E17" s="1"/>
    </row>
    <row r="18" spans="1:5" x14ac:dyDescent="0.25">
      <c r="A18" s="1"/>
      <c r="B18" s="53"/>
      <c r="C18" s="31"/>
      <c r="D18" s="19"/>
      <c r="E18" s="1"/>
    </row>
    <row r="19" spans="1:5" x14ac:dyDescent="0.25">
      <c r="A19" s="1"/>
      <c r="B19" s="1"/>
      <c r="C19" s="32"/>
      <c r="D19" s="1"/>
      <c r="E19" s="1"/>
    </row>
    <row r="20" spans="1:5" x14ac:dyDescent="0.25">
      <c r="A20" s="1"/>
      <c r="B20" s="98" t="s">
        <v>169</v>
      </c>
      <c r="C20" s="99"/>
      <c r="D20" s="100"/>
      <c r="E20" s="1"/>
    </row>
    <row r="21" spans="1:5" x14ac:dyDescent="0.25">
      <c r="A21" s="1"/>
      <c r="B21" s="56" t="s">
        <v>168</v>
      </c>
      <c r="C21" s="48">
        <f>(C15+C16-C17)*(1+'Fane 13. Nøgletal'!C11)</f>
        <v>268676002.93904543</v>
      </c>
      <c r="D21" s="14" t="s">
        <v>3</v>
      </c>
      <c r="E21" s="1"/>
    </row>
    <row r="22" spans="1:5" x14ac:dyDescent="0.25">
      <c r="A22" s="1"/>
      <c r="B22" s="56" t="s">
        <v>170</v>
      </c>
      <c r="C22" s="48">
        <f>(C21)*'Fane 13. Nøgletal'!C23</f>
        <v>5373520.0587809086</v>
      </c>
      <c r="D22" s="14" t="s">
        <v>3</v>
      </c>
      <c r="E22" s="1"/>
    </row>
    <row r="23" spans="1:5" x14ac:dyDescent="0.25">
      <c r="A23" s="1"/>
      <c r="B23" s="53"/>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280759437.49522609</v>
      </c>
      <c r="D26" s="14" t="s">
        <v>3</v>
      </c>
      <c r="E26" s="1"/>
    </row>
    <row r="27" spans="1:5" x14ac:dyDescent="0.25">
      <c r="A27" s="1"/>
      <c r="B27" s="56" t="s">
        <v>118</v>
      </c>
      <c r="C27" s="48">
        <f>(C26)*'Fane 13. Nøgletal'!C23</f>
        <v>5615188.7499045217</v>
      </c>
      <c r="D27" s="14" t="s">
        <v>3</v>
      </c>
      <c r="E27" s="1"/>
    </row>
    <row r="28" spans="1:5" x14ac:dyDescent="0.25">
      <c r="A28" s="1"/>
      <c r="B28" s="53"/>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293386312.43713641</v>
      </c>
      <c r="D31" s="14" t="s">
        <v>3</v>
      </c>
      <c r="E31" s="1"/>
    </row>
    <row r="32" spans="1:5" x14ac:dyDescent="0.25">
      <c r="A32" s="1"/>
      <c r="B32" s="56" t="s">
        <v>138</v>
      </c>
      <c r="C32" s="48">
        <f>(C31)*'Fane 13. Nøgletal'!C23</f>
        <v>5867726.2487427285</v>
      </c>
      <c r="D32" s="14" t="s">
        <v>3</v>
      </c>
      <c r="E32" s="1"/>
    </row>
    <row r="33" spans="1:5" x14ac:dyDescent="0.25">
      <c r="A33" s="1"/>
      <c r="B33" s="53"/>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Ki+rlq6EmxfidvtVqA7btLXYXtewf6rGw+Um89mKl2RMx0D7PNrreoYAQO5+llrYM+5CW3SRHdJi4PE35b2Cjw==" saltValue="IRJxgGvnv6pFXW92jqURsw=="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161</v>
      </c>
      <c r="C9" s="48">
        <v>140323370.02916008</v>
      </c>
      <c r="D9" s="14" t="s">
        <v>3</v>
      </c>
      <c r="E9" s="1"/>
    </row>
    <row r="10" spans="1:5" x14ac:dyDescent="0.25">
      <c r="A10" s="1"/>
      <c r="B10" s="56" t="s">
        <v>113</v>
      </c>
      <c r="C10" s="48">
        <f>SUM('Fane 3. Omkostninger i ØR2024'!C11,'Fane 3. Omkostninger i ØR2024'!C13,'Fane 3. Omkostninger i ØR2024'!C15)*(1+'Fane 13. Nøgletal'!C10)</f>
        <v>25352429.708708476</v>
      </c>
      <c r="D10" s="14" t="s">
        <v>3</v>
      </c>
      <c r="E10" s="1"/>
    </row>
    <row r="11" spans="1:5" x14ac:dyDescent="0.25">
      <c r="A11" s="1"/>
      <c r="B11" s="56" t="s">
        <v>114</v>
      </c>
      <c r="C11" s="48">
        <f>(C9)*'Fane 13. Nøgletal'!C16+C10*'Fane 13. Nøgletal'!C17</f>
        <v>0</v>
      </c>
      <c r="D11" s="14" t="s">
        <v>3</v>
      </c>
      <c r="E11" s="1"/>
    </row>
    <row r="12" spans="1:5" x14ac:dyDescent="0.25">
      <c r="A12" s="1"/>
      <c r="B12" s="53"/>
      <c r="C12" s="54"/>
      <c r="D12" s="19"/>
      <c r="E12" s="1"/>
    </row>
    <row r="13" spans="1:5" x14ac:dyDescent="0.25">
      <c r="A13" s="1"/>
      <c r="B13" s="1"/>
      <c r="C13" s="1"/>
      <c r="D13" s="1"/>
      <c r="E13" s="1"/>
    </row>
    <row r="14" spans="1:5" x14ac:dyDescent="0.25">
      <c r="A14" s="1"/>
      <c r="B14" s="98" t="s">
        <v>155</v>
      </c>
      <c r="C14" s="99"/>
      <c r="D14" s="100"/>
      <c r="E14" s="1"/>
    </row>
    <row r="15" spans="1:5" x14ac:dyDescent="0.25">
      <c r="A15" s="1"/>
      <c r="B15" s="56" t="s">
        <v>162</v>
      </c>
      <c r="C15" s="48">
        <f>(C9+C10-C11)*(1+'Fane 13. Nøgletal'!C11)</f>
        <v>176660105.26048923</v>
      </c>
      <c r="D15" s="14" t="s">
        <v>3</v>
      </c>
      <c r="E15" s="1"/>
    </row>
    <row r="16" spans="1:5" x14ac:dyDescent="0.25">
      <c r="A16" s="1"/>
      <c r="B16" s="56" t="s">
        <v>156</v>
      </c>
      <c r="C16" s="48">
        <f>('Fane 2.1. Økonomisk ramme 2025'!C11+'Fane 2.1. Økonomisk ramme 2025'!C13+'Fane 2.1. Økonomisk ramme 2025'!C15)*(1+'Fane 13. Nøgletal'!C11)</f>
        <v>694565.65311582002</v>
      </c>
      <c r="D16" s="14" t="s">
        <v>3</v>
      </c>
      <c r="E16" s="1"/>
    </row>
    <row r="17" spans="1:5" x14ac:dyDescent="0.25">
      <c r="A17" s="1"/>
      <c r="B17" s="56" t="s">
        <v>157</v>
      </c>
      <c r="C17" s="48">
        <f>(C15+C16)*'Fane 13. Nøgletal'!C18</f>
        <v>0</v>
      </c>
      <c r="D17" s="14" t="s">
        <v>3</v>
      </c>
      <c r="E17" s="1"/>
    </row>
    <row r="18" spans="1:5" x14ac:dyDescent="0.25">
      <c r="A18" s="1"/>
      <c r="B18" s="53"/>
      <c r="C18" s="54"/>
      <c r="D18" s="19"/>
      <c r="E18" s="1"/>
    </row>
    <row r="19" spans="1:5" x14ac:dyDescent="0.25">
      <c r="A19" s="1"/>
      <c r="B19" s="1"/>
      <c r="C19" s="1"/>
      <c r="D19" s="1"/>
      <c r="E19" s="1"/>
    </row>
    <row r="20" spans="1:5" x14ac:dyDescent="0.25">
      <c r="A20" s="1"/>
      <c r="B20" s="98" t="s">
        <v>165</v>
      </c>
      <c r="C20" s="99"/>
      <c r="D20" s="100"/>
      <c r="E20" s="1"/>
    </row>
    <row r="21" spans="1:5" x14ac:dyDescent="0.25">
      <c r="A21" s="1"/>
      <c r="B21" s="56" t="s">
        <v>163</v>
      </c>
      <c r="C21" s="48">
        <f>(C15+C16-C17)*(1+'Fane 13. Nøgletal'!C11)</f>
        <v>189113285.59517705</v>
      </c>
      <c r="D21" s="14" t="s">
        <v>3</v>
      </c>
      <c r="E21" s="1"/>
    </row>
    <row r="22" spans="1:5" x14ac:dyDescent="0.25">
      <c r="A22" s="1"/>
      <c r="B22" s="56" t="s">
        <v>164</v>
      </c>
      <c r="C22" s="48">
        <f>(C21)*'Fane 13. Nøgletal'!C18</f>
        <v>0</v>
      </c>
      <c r="D22" s="14" t="s">
        <v>3</v>
      </c>
      <c r="E22" s="1"/>
    </row>
    <row r="23" spans="1:5" x14ac:dyDescent="0.25">
      <c r="A23" s="1"/>
      <c r="B23" s="53"/>
      <c r="C23" s="54"/>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201651496.43013731</v>
      </c>
      <c r="D26" s="14" t="s">
        <v>3</v>
      </c>
      <c r="E26" s="1"/>
    </row>
    <row r="27" spans="1:5" x14ac:dyDescent="0.25">
      <c r="A27" s="1"/>
      <c r="B27" s="56" t="s">
        <v>121</v>
      </c>
      <c r="C27" s="48">
        <f>(C26)*'Fane 13. Nøgletal'!C18</f>
        <v>0</v>
      </c>
      <c r="D27" s="14" t="s">
        <v>3</v>
      </c>
      <c r="E27" s="1"/>
    </row>
    <row r="28" spans="1:5" x14ac:dyDescent="0.25">
      <c r="A28" s="1"/>
      <c r="B28" s="53"/>
      <c r="C28" s="54"/>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215020990.64345542</v>
      </c>
      <c r="D31" s="14" t="s">
        <v>3</v>
      </c>
      <c r="E31" s="1"/>
    </row>
    <row r="32" spans="1:5" x14ac:dyDescent="0.25">
      <c r="A32" s="1"/>
      <c r="B32" s="56" t="s">
        <v>141</v>
      </c>
      <c r="C32" s="48">
        <f>(C31)*'Fane 13. Nøgletal'!C18</f>
        <v>0</v>
      </c>
      <c r="D32" s="14" t="s">
        <v>3</v>
      </c>
      <c r="E32" s="1"/>
    </row>
    <row r="33" spans="1:5" x14ac:dyDescent="0.25">
      <c r="A33" s="1"/>
      <c r="B33" s="53"/>
      <c r="C33" s="54"/>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3yx97YTtsWcwjhjdduZOwQF3y+dMtIjFAYHmV1/nidlA0t/WRre3UFDQKde1Tl3boRXnbDp44PS9UE5OZLVKxA==" saltValue="omYNOEXKOr3eiXiaTSUoQ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5.28515625" style="2" customWidth="1"/>
    <col min="5" max="16384" width="9.28515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159</v>
      </c>
      <c r="C9" s="44">
        <v>0</v>
      </c>
      <c r="D9" s="1"/>
    </row>
    <row r="10" spans="1:4" x14ac:dyDescent="0.25">
      <c r="A10" s="1"/>
      <c r="B10" s="53"/>
      <c r="C10" s="19"/>
      <c r="D10" s="1"/>
    </row>
    <row r="11" spans="1:4" ht="15" customHeight="1" x14ac:dyDescent="0.25">
      <c r="A11" s="1"/>
      <c r="B11" s="103" t="s">
        <v>160</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VgmMmFEoEYfesEAAiFhmcXftt3/ZTxsfmWPxgVW9OkrQJ0iQcFB+cgujj+aLo52HVAPLyT1lItOYocyxlXi4Eg==" saltValue="EhImxu98iukoe43cOJylHQ=="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2024-10-11T10:08:46Z</dcterms:modified>
</cp:coreProperties>
</file>