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907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Ikke-påvirkelige omk." sheetId="19" r:id="rId7"/>
    <sheet name="Fane 5. Generelt eff. krav" sheetId="30" r:id="rId8"/>
    <sheet name="Fane 6. Hist. over el. underdæk" sheetId="10" r:id="rId9"/>
    <sheet name="Fane 7. Kontrol af ØR2017" sheetId="34" r:id="rId10"/>
    <sheet name="Fane 8. Anlægsprojekter" sheetId="11" r:id="rId11"/>
    <sheet name="Fane 9. Tillæg" sheetId="20" r:id="rId12"/>
    <sheet name="Fane 10. Bortfald" sheetId="21" r:id="rId13"/>
    <sheet name="Fane 11. Nøgletal" sheetId="26" r:id="rId14"/>
  </sheets>
  <definedNames>
    <definedName name="GenereltKravAnlæg2018">'Fane 5. Generelt eff. krav'!$G$19</definedName>
    <definedName name="GenereltKravAnlæg2019">'Fane 5. Generelt eff. krav'!$G$20</definedName>
    <definedName name="GenereltKravDrift2018">'Fane 5. Generelt eff. krav'!$G$17</definedName>
    <definedName name="GenereltKravDrift2019">'Fane 5. Generelt eff. krav'!$G$18</definedName>
    <definedName name="IndividueltKrav">'Fane 11. Nøgletal'!$F$14</definedName>
    <definedName name="Prisudvikling2018">'Fane 11. Nøgletal'!$F$9</definedName>
    <definedName name="Prisudvikling2019">'Fane 11. Nøgletal'!$F$10</definedName>
  </definedNames>
  <calcPr calcId="145621"/>
</workbook>
</file>

<file path=xl/calcChain.xml><?xml version="1.0" encoding="utf-8"?>
<calcChain xmlns="http://schemas.openxmlformats.org/spreadsheetml/2006/main">
  <c r="C22" i="23" l="1"/>
  <c r="C23" i="22"/>
  <c r="C23" i="15"/>
  <c r="C27" i="2"/>
  <c r="E11" i="11" l="1"/>
  <c r="E12" i="11"/>
  <c r="E13" i="11"/>
  <c r="E14" i="11"/>
  <c r="E15" i="11"/>
  <c r="E16" i="11"/>
  <c r="E17" i="11"/>
  <c r="E18" i="11"/>
  <c r="E19" i="11"/>
  <c r="E20" i="11"/>
  <c r="E21" i="11"/>
  <c r="E12" i="34" l="1"/>
  <c r="E18" i="34" l="1"/>
  <c r="E20" i="34" s="1"/>
  <c r="G21" i="34" s="1"/>
  <c r="G22" i="34" s="1"/>
  <c r="C27" i="15" s="1"/>
  <c r="E27" i="15" s="1"/>
  <c r="C16" i="23" l="1"/>
  <c r="C17" i="22"/>
  <c r="C17" i="15"/>
  <c r="C21" i="2"/>
  <c r="G12" i="34" l="1"/>
  <c r="C25" i="22" s="1"/>
  <c r="E25" i="22" s="1"/>
  <c r="G10" i="30" l="1"/>
  <c r="G12" i="30"/>
  <c r="E10" i="11" l="1"/>
  <c r="G24" i="11"/>
  <c r="F24" i="11"/>
  <c r="D10" i="20" s="1"/>
  <c r="C32" i="2" l="1"/>
  <c r="C17" i="23" l="1"/>
  <c r="E17" i="23" s="1"/>
  <c r="C18" i="22" l="1"/>
  <c r="E18" i="22" s="1"/>
  <c r="C18" i="15"/>
  <c r="E18" i="15" s="1"/>
  <c r="C22" i="2"/>
  <c r="E22" i="2" s="1"/>
  <c r="G13" i="27"/>
  <c r="D12" i="20" l="1"/>
  <c r="F11" i="21"/>
  <c r="F12" i="21" s="1"/>
  <c r="C13" i="2" s="1"/>
  <c r="D11" i="21"/>
  <c r="D12" i="21" s="1"/>
  <c r="C12" i="2" s="1"/>
  <c r="C9" i="2"/>
  <c r="E14" i="19"/>
  <c r="E15" i="19" s="1"/>
  <c r="C24" i="2" l="1"/>
  <c r="E27" i="2" s="1"/>
  <c r="C20" i="22"/>
  <c r="E23" i="22" s="1"/>
  <c r="C19" i="23"/>
  <c r="C20" i="15"/>
  <c r="E23" i="15" l="1"/>
  <c r="E22" i="23"/>
  <c r="G11" i="10"/>
  <c r="E32" i="2" l="1"/>
  <c r="G13" i="10"/>
  <c r="C25" i="15" s="1"/>
  <c r="E23" i="11"/>
  <c r="E25" i="15" l="1"/>
  <c r="D13" i="20"/>
  <c r="C10" i="2" s="1"/>
  <c r="C16" i="2" s="1"/>
  <c r="C12" i="15" l="1"/>
  <c r="C12" i="22" s="1"/>
  <c r="C11" i="23" s="1"/>
  <c r="E22" i="11"/>
  <c r="E24" i="11" l="1"/>
  <c r="F10" i="20" s="1"/>
  <c r="F12" i="20" s="1"/>
  <c r="F13" i="20" s="1"/>
  <c r="C11" i="2" s="1"/>
  <c r="C17" i="2" s="1"/>
  <c r="C34" i="2"/>
  <c r="E34" i="2" s="1"/>
  <c r="C13" i="15" l="1"/>
  <c r="C13" i="22" s="1"/>
  <c r="C12" i="23" s="1"/>
  <c r="C14" i="2"/>
  <c r="C15" i="2" s="1"/>
  <c r="C18" i="2" l="1"/>
  <c r="E18" i="2" s="1"/>
  <c r="E35" i="2" s="1"/>
  <c r="C9" i="15" l="1"/>
  <c r="C10" i="15" l="1"/>
  <c r="C11" i="15" s="1"/>
  <c r="C14" i="15" l="1"/>
  <c r="E14" i="15" s="1"/>
  <c r="E28" i="15" s="1"/>
  <c r="C9" i="22" l="1"/>
  <c r="C10" i="22" l="1"/>
  <c r="C11" i="22" s="1"/>
  <c r="C14" i="22" l="1"/>
  <c r="E14" i="22" s="1"/>
  <c r="E26" i="22" s="1"/>
  <c r="C8" i="23" l="1"/>
  <c r="C9" i="23" l="1"/>
  <c r="C10" i="23" l="1"/>
  <c r="C13" i="23" s="1"/>
  <c r="E13" i="23" s="1"/>
  <c r="E23" i="23" s="1"/>
</calcChain>
</file>

<file path=xl/sharedStrings.xml><?xml version="1.0" encoding="utf-8"?>
<sst xmlns="http://schemas.openxmlformats.org/spreadsheetml/2006/main" count="372" uniqueCount="160">
  <si>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</si>
  <si>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</si>
  <si>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</si>
  <si>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</si>
  <si>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</si>
  <si>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</si>
  <si>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</si>
  <si>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</si>
  <si>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</si>
  <si>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</si>
  <si>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</si>
  <si>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</si>
  <si>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</si>
  <si>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</si>
  <si>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</si>
  <si>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</si>
  <si>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</si>
  <si>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</si>
  <si>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</si>
  <si>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</si>
  <si>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</si>
  <si>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</si>
  <si>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</si>
  <si>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</si>
  <si>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</si>
  <si>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</si>
  <si>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</si>
  <si>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</si>
  <si>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Tillæg</t>
  </si>
  <si>
    <t>Fane 11</t>
  </si>
  <si>
    <t>Fane 2.2</t>
  </si>
  <si>
    <t>Samlet økonomisk ramme for 2019</t>
  </si>
  <si>
    <t>Omkostninger i den økonomiske ramme for 2018</t>
  </si>
  <si>
    <t>Økonomisk ramme for 2019</t>
  </si>
  <si>
    <t>Beskrivelse af tillæg</t>
  </si>
  <si>
    <t>Bortfald eller nedsættelse</t>
  </si>
  <si>
    <t>Beskrivelse af bortfald eller nedsættelse</t>
  </si>
  <si>
    <t>Prisudvikling i kr.</t>
  </si>
  <si>
    <t>år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</si>
  <si>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</si>
  <si>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</si>
  <si>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</si>
  <si>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</si>
  <si>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</si>
  <si>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</si>
  <si>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</si>
  <si>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</si>
  <si>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</si>
  <si>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</si>
  <si>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</si>
  <si>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</si>
  <si>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</si>
  <si>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</si>
  <si>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</si>
  <si>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</si>
  <si>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</si>
  <si>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</si>
  <si>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</si>
  <si>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</si>
  <si>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</si>
  <si>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</si>
  <si>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Generelt effektiviseringskrav - Drift</t>
  </si>
  <si>
    <t>Generelt effektiviseringskrav - Anlæg</t>
  </si>
  <si>
    <t>Nye tillæg - Anlæg</t>
  </si>
  <si>
    <t>Nye tillæg - Drift</t>
  </si>
  <si>
    <t>Bortfald eller nedsættelse af omkostninger - Anlæg</t>
  </si>
  <si>
    <t>Bortfald eller nedsættelse af omkostninger - Drift</t>
  </si>
  <si>
    <t>Generelt effektiviseringskrav - Nøgletal</t>
  </si>
  <si>
    <t>Økonomisk ramme for 2021</t>
  </si>
  <si>
    <t>Nye tillæg i alt (2017-prisniveau)</t>
  </si>
  <si>
    <t>Nye tillæg i alt (2018-prisniveau)</t>
  </si>
  <si>
    <t>Bortfald eller nedsættelse i alt (2017-prisniveau)</t>
  </si>
  <si>
    <t>Bortfald eller nedsættelse i alt (2018-prisniveau)</t>
  </si>
  <si>
    <t>- Heraf periodevise driftsomkostninger</t>
  </si>
  <si>
    <t>Periodevise driftsomkostninger</t>
  </si>
  <si>
    <t>Periodevise driftsomkostninger før effektiviseringskrav i 2018</t>
  </si>
  <si>
    <t>Effektiviseringskrav til periodevise driftsomkostninger</t>
  </si>
  <si>
    <t>Periodevise driftsomkostninger i alt</t>
  </si>
  <si>
    <t>Økonomisk ramme for 2022</t>
  </si>
  <si>
    <t>Tilbagebetaling af vejbidrag</t>
  </si>
  <si>
    <t>Ikke-påvirkelige omkostninger i alt</t>
  </si>
  <si>
    <t>Korrektion af periodevise driftsomkostninger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</si>
  <si>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</si>
  <si>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</si>
  <si>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</si>
  <si>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</si>
  <si>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</si>
  <si>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ØR18-ØR19</t>
  </si>
  <si>
    <t>Generelt effektiviseringskrav anvendt til anlæg i ØR18-ØR19</t>
  </si>
  <si>
    <t>Beskrivelse af anlægsaktiver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</si>
  <si>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</si>
  <si>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</si>
  <si>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</si>
  <si>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</si>
  <si>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</si>
  <si>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</si>
  <si>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</si>
  <si>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</si>
  <si>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</si>
  <si>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</si>
  <si>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Hist. over el. underdæk</t>
  </si>
  <si>
    <t>Bortfald</t>
  </si>
  <si>
    <t>Fane 4: Korrektion af ikke-påvirkelige omkostninger</t>
  </si>
  <si>
    <t>Generelt eff. Krav</t>
  </si>
  <si>
    <t>Anlægsprojekter</t>
  </si>
  <si>
    <t>Indtægtsramme i den økonomiske ramme for 2017</t>
  </si>
  <si>
    <t>Faktiske indtægter i 2017</t>
  </si>
  <si>
    <t>Difference</t>
  </si>
  <si>
    <t>Fradrag for kontrol med overholdelse af indtægtsrammen</t>
  </si>
  <si>
    <t>Individuelt effektiviseringskrav fastsat til de økonomiske rammer for 2018</t>
  </si>
  <si>
    <t>Anlægsomkostninger</t>
  </si>
  <si>
    <t>Beskrivelse af ikke-påvirkelige omkostninger</t>
  </si>
  <si>
    <t>- Heraf Faktisk eller planlagt genanbringelse af væsentlige indtægter</t>
  </si>
  <si>
    <t>Antal år i reguleringsperiode</t>
  </si>
  <si>
    <t>Fradrag i den økonomiske ramme for 2020-2021 i alt (2017-prisniveau)</t>
  </si>
  <si>
    <t>Fradrag i den økonomiske ramme for 2020-2021 i alt (2020-prisniveau)</t>
  </si>
  <si>
    <t>Kontrol med overholdelse af den økonomiske ramme for 2017</t>
  </si>
  <si>
    <t>Til indregning i de økonomiske rammer for 2020-2021</t>
  </si>
  <si>
    <t>Indregning af difference hvis negativ</t>
  </si>
  <si>
    <t>Fordeling af difference per år i reguleringsperiode</t>
  </si>
  <si>
    <t>Fane 5: Generelt effektiviseringskrav</t>
  </si>
  <si>
    <t>Fane 9: Tillæg</t>
  </si>
  <si>
    <t>Kontrol af ØR2017</t>
  </si>
  <si>
    <t>Til statusmeddelse for 2019</t>
  </si>
  <si>
    <t>Samlet økonomisk ramme for 2022</t>
  </si>
  <si>
    <t>Fane 6: Historisk over- eller underdækning</t>
  </si>
  <si>
    <t>Fane 7: Kontrol med overholdelse af den økonomiske ramme for 2017</t>
  </si>
  <si>
    <t>Anlægsprojekter igangsat inden 1. marts 2016</t>
  </si>
  <si>
    <t>Ikke-påvirkelige omkostninger i 2017-prisniveau</t>
  </si>
  <si>
    <t>Ikke-påvirkelige omkostninger i 2019-prisniveau</t>
  </si>
  <si>
    <t>Fane 8: Anlægsprojekter igangsat inden 1. marts 2016</t>
  </si>
  <si>
    <t>Anlægsprojekter igangsat inden 1. marts 2016 i alt</t>
  </si>
  <si>
    <t>Generelt effektiviseringskrav anvendt til nye anlægsomkostninger i ØR19</t>
  </si>
  <si>
    <t>Afgift til Forsyningsekretariatet</t>
  </si>
  <si>
    <t>Køb af ydelser og produkter fra andre vandselskaber reguleret af vandsektorloven</t>
  </si>
  <si>
    <t>Skatter og afgifter</t>
  </si>
  <si>
    <t>Tjenestemandspensioner</t>
  </si>
  <si>
    <t>Periodevise driftsomkostninger under prisloftsbekendtgørelsen</t>
  </si>
  <si>
    <t>Ingen bortfald eller nedsættelse</t>
  </si>
  <si>
    <t>Flytning af forsyningsledninger ved Langelands Plads</t>
  </si>
  <si>
    <t>Stik</t>
  </si>
  <si>
    <t>Ledningsnet &gt; Ø 1600 mm (rørbassiner og transportledninger)</t>
  </si>
  <si>
    <t>Kælder</t>
  </si>
  <si>
    <t>Pumpeinstallation Miljøklasse A (600-1.000 l/s) - Mek/EL</t>
  </si>
  <si>
    <t>Pumpeinstallation Miljøklasse A (600-1.000 l/s) - SRO</t>
  </si>
  <si>
    <t>Kælder (20 - 30 m2)</t>
  </si>
  <si>
    <t>Installationer "mekaniske riste og SRO" Miljøklasse A. (20-30 m2) - Mek/EL</t>
  </si>
  <si>
    <t>Forsinkelsesbassiner, lukkede uden automatisk rensning og SRO Miljøklasse B (mindre end 1.000 m3)</t>
  </si>
  <si>
    <t>Ø 500 mm &lt; Ledningsnet ≤ Ø 800 mm</t>
  </si>
  <si>
    <t>Ø 200 mm &lt; Ledningsnet ≤ Ø 500 mm</t>
  </si>
  <si>
    <t>Ledningsnet ≤ Ø 200 mm</t>
  </si>
  <si>
    <t>Ø 1200 mm &lt; Ledningsnet ≤ Ø 1600 mm</t>
  </si>
  <si>
    <t>Brønde</t>
  </si>
  <si>
    <t>75</t>
  </si>
  <si>
    <t>20</t>
  </si>
  <si>
    <t>10</t>
  </si>
  <si>
    <t>50</t>
  </si>
  <si>
    <t xml:space="preserve">Medfinansiering efter prisloftbekendtgørelsen </t>
  </si>
  <si>
    <t>Fane 10: Bortfald eller nedsættelse af omkostninger til mål, medfinansiering eller udvidelse</t>
  </si>
  <si>
    <t>Fane 11: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</si>
</sst>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3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3" fontId="0" fillId="0" borderId="0" xfId="0" applyNumberFormat="1" applyProtection="1"/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10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165" fontId="8" fillId="9" borderId="1" xfId="1" applyNumberFormat="1" applyFont="1" applyFill="1" applyBorder="1" applyProtection="1"/>
    <xf numFmtId="10" fontId="8" fillId="9" borderId="1" xfId="4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3" xfId="0" applyNumberFormat="1" applyFont="1" applyFill="1" applyBorder="1" applyAlignment="1" applyProtection="1">
      <alignment horizontal="left"/>
    </xf>
    <xf numFmtId="49" fontId="8" fillId="9" borderId="10" xfId="0" applyNumberFormat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3" fillId="7" borderId="6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5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1406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0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2" t="s">
        <v>3</v>
      </c>
      <c r="E6" s="82"/>
      <c r="F6" s="82"/>
      <c r="G6" s="82"/>
      <c r="H6" s="3"/>
      <c r="I6" s="1"/>
    </row>
    <row r="7" spans="1:9" ht="15" customHeight="1" x14ac:dyDescent="0.25">
      <c r="A7" s="1"/>
      <c r="B7" s="1"/>
      <c r="C7" s="3"/>
      <c r="D7" s="82"/>
      <c r="E7" s="82"/>
      <c r="F7" s="82"/>
      <c r="G7" s="82"/>
      <c r="H7" s="3"/>
      <c r="I7" s="1"/>
    </row>
    <row r="8" spans="1:9" ht="15.75" x14ac:dyDescent="0.25">
      <c r="A8" s="1"/>
      <c r="B8" s="1"/>
      <c r="C8" s="4"/>
      <c r="D8" s="84" t="s">
        <v>123</v>
      </c>
      <c r="E8" s="84"/>
      <c r="F8" s="84"/>
      <c r="G8" s="84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3" t="s">
        <v>4</v>
      </c>
      <c r="E11" s="83"/>
      <c r="F11" s="83"/>
      <c r="G11" s="83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5</v>
      </c>
      <c r="D13" s="79" t="s">
        <v>31</v>
      </c>
      <c r="E13" s="80"/>
      <c r="F13" s="80"/>
      <c r="G13" s="81"/>
      <c r="H13" s="1"/>
      <c r="I13" s="1"/>
    </row>
    <row r="14" spans="1:9" x14ac:dyDescent="0.25">
      <c r="A14" s="1"/>
      <c r="B14" s="1"/>
      <c r="C14" s="6" t="s">
        <v>30</v>
      </c>
      <c r="D14" s="79" t="s">
        <v>95</v>
      </c>
      <c r="E14" s="80"/>
      <c r="F14" s="80"/>
      <c r="G14" s="81"/>
      <c r="H14" s="1"/>
      <c r="I14" s="1"/>
    </row>
    <row r="15" spans="1:9" x14ac:dyDescent="0.25">
      <c r="A15" s="1"/>
      <c r="B15" s="1"/>
      <c r="C15" s="6" t="s">
        <v>94</v>
      </c>
      <c r="D15" s="79" t="s">
        <v>97</v>
      </c>
      <c r="E15" s="80"/>
      <c r="F15" s="80"/>
      <c r="G15" s="81"/>
      <c r="H15" s="1"/>
      <c r="I15" s="1"/>
    </row>
    <row r="16" spans="1:9" x14ac:dyDescent="0.25">
      <c r="A16" s="1"/>
      <c r="B16" s="1"/>
      <c r="C16" s="6" t="s">
        <v>96</v>
      </c>
      <c r="D16" s="79" t="s">
        <v>124</v>
      </c>
      <c r="E16" s="80"/>
      <c r="F16" s="80"/>
      <c r="G16" s="81"/>
      <c r="H16" s="1"/>
      <c r="I16" s="1"/>
    </row>
    <row r="17" spans="1:9" x14ac:dyDescent="0.25">
      <c r="A17" s="1"/>
      <c r="B17" s="1"/>
      <c r="C17" s="6" t="s">
        <v>6</v>
      </c>
      <c r="D17" s="85" t="s">
        <v>98</v>
      </c>
      <c r="E17" s="86"/>
      <c r="F17" s="86"/>
      <c r="G17" s="87"/>
      <c r="H17" s="1"/>
      <c r="I17" s="1"/>
    </row>
    <row r="18" spans="1:9" x14ac:dyDescent="0.25">
      <c r="A18" s="1"/>
      <c r="B18" s="1"/>
      <c r="C18" s="6" t="s">
        <v>7</v>
      </c>
      <c r="D18" s="85" t="s">
        <v>99</v>
      </c>
      <c r="E18" s="86"/>
      <c r="F18" s="86"/>
      <c r="G18" s="87"/>
      <c r="H18" s="1"/>
      <c r="I18" s="1"/>
    </row>
    <row r="19" spans="1:9" x14ac:dyDescent="0.25">
      <c r="A19" s="1"/>
      <c r="B19" s="1"/>
      <c r="C19" s="6" t="s">
        <v>8</v>
      </c>
      <c r="D19" s="70" t="s">
        <v>103</v>
      </c>
      <c r="E19" s="71"/>
      <c r="F19" s="71"/>
      <c r="G19" s="72"/>
      <c r="H19" s="1"/>
      <c r="I19" s="1"/>
    </row>
    <row r="20" spans="1:9" x14ac:dyDescent="0.25">
      <c r="A20" s="1"/>
      <c r="B20" s="1"/>
      <c r="C20" s="6" t="s">
        <v>9</v>
      </c>
      <c r="D20" s="73" t="s">
        <v>100</v>
      </c>
      <c r="E20" s="74"/>
      <c r="F20" s="74"/>
      <c r="G20" s="75"/>
      <c r="H20" s="1"/>
      <c r="I20" s="1"/>
    </row>
    <row r="21" spans="1:9" x14ac:dyDescent="0.25">
      <c r="A21" s="1"/>
      <c r="B21" s="1"/>
      <c r="C21" s="6" t="s">
        <v>10</v>
      </c>
      <c r="D21" s="73" t="s">
        <v>122</v>
      </c>
      <c r="E21" s="74"/>
      <c r="F21" s="74"/>
      <c r="G21" s="75"/>
      <c r="H21" s="1"/>
      <c r="I21" s="1"/>
    </row>
    <row r="22" spans="1:9" x14ac:dyDescent="0.25">
      <c r="A22" s="1"/>
      <c r="B22" s="1"/>
      <c r="C22" s="6" t="s">
        <v>11</v>
      </c>
      <c r="D22" s="73" t="s">
        <v>104</v>
      </c>
      <c r="E22" s="74"/>
      <c r="F22" s="74"/>
      <c r="G22" s="75"/>
      <c r="H22" s="1"/>
      <c r="I22" s="1"/>
    </row>
    <row r="23" spans="1:9" x14ac:dyDescent="0.25">
      <c r="A23" s="1"/>
      <c r="B23" s="1"/>
      <c r="C23" s="6" t="s">
        <v>12</v>
      </c>
      <c r="D23" s="76" t="s">
        <v>28</v>
      </c>
      <c r="E23" s="77"/>
      <c r="F23" s="77"/>
      <c r="G23" s="78"/>
      <c r="H23" s="1"/>
      <c r="I23" s="1"/>
    </row>
    <row r="24" spans="1:9" x14ac:dyDescent="0.25">
      <c r="A24" s="1"/>
      <c r="B24" s="1"/>
      <c r="C24" s="6" t="s">
        <v>26</v>
      </c>
      <c r="D24" s="67" t="s">
        <v>101</v>
      </c>
      <c r="E24" s="68"/>
      <c r="F24" s="68"/>
      <c r="G24" s="69"/>
      <c r="H24" s="1"/>
      <c r="I24" s="1"/>
    </row>
    <row r="25" spans="1:9" x14ac:dyDescent="0.25">
      <c r="A25" s="1"/>
      <c r="B25" s="1"/>
      <c r="C25" s="6" t="s">
        <v>29</v>
      </c>
      <c r="D25" s="67" t="s">
        <v>54</v>
      </c>
      <c r="E25" s="68"/>
      <c r="F25" s="68"/>
      <c r="G25" s="69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</sheetData>
  <sheetProtection password="DFE9" sheet="1" objects="1" scenarios="1"/>
  <mergeCells count="16">
    <mergeCell ref="D14:G14"/>
    <mergeCell ref="D6:G7"/>
    <mergeCell ref="D20:G20"/>
    <mergeCell ref="D11:G11"/>
    <mergeCell ref="D8:G8"/>
    <mergeCell ref="D15:G15"/>
    <mergeCell ref="D16:G16"/>
    <mergeCell ref="D17:G17"/>
    <mergeCell ref="D18:G18"/>
    <mergeCell ref="D13:G13"/>
    <mergeCell ref="D24:G24"/>
    <mergeCell ref="D25:G25"/>
    <mergeCell ref="D19:G19"/>
    <mergeCell ref="D21:G21"/>
    <mergeCell ref="D22:G22"/>
    <mergeCell ref="D23:G2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Ikke-påvirkelige omk.'!A1" display="Ikke-påvirkelige omk."/>
    <hyperlink ref="D20:G20" location="'Fane 6. Hist. over el. underdæk'!A1" display="Hist. over el. underdæk"/>
    <hyperlink ref="D23:G23" location="'Fane 9. Tillæg'!A1" display="Tillæg"/>
    <hyperlink ref="D24:G24" location="'Fane 10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Generelt eff. krav'!A1" display="Generelt eff. Krav"/>
    <hyperlink ref="D21:G21" location="'Fane 7. Kontrol af ØR2017'!A1" display="Kontrol af ØR2017"/>
    <hyperlink ref="D22:G22" location="'Fane 8. Anlægsprojekter'!A1" display="Anlægsprojekter"/>
    <hyperlink ref="D25:G25" location="'Fane 11. Nøgletal'!A1" display="Nøgletal"/>
  </hyperlinks>
  <pageMargins left="0.8333333333333333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8"/>
  <sheetViews>
    <sheetView showGridLines="0" view="pageLayout" zoomScaleNormal="100" workbookViewId="0"/>
  </sheetViews>
  <sheetFormatPr defaultRowHeight="15" x14ac:dyDescent="0.25"/>
  <cols>
    <col min="1" max="1" width="3" style="2" customWidth="1"/>
    <col min="2" max="3" width="9.140625" style="2"/>
    <col min="4" max="4" width="31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3" t="s">
        <v>126</v>
      </c>
      <c r="C3" s="93"/>
      <c r="D3" s="93"/>
      <c r="E3" s="93"/>
      <c r="F3" s="93"/>
      <c r="G3" s="93"/>
      <c r="H3" s="93"/>
      <c r="I3" s="1"/>
    </row>
    <row r="4" spans="1:9" ht="15" customHeight="1" x14ac:dyDescent="0.25">
      <c r="A4" s="1"/>
      <c r="B4" s="93"/>
      <c r="C4" s="93"/>
      <c r="D4" s="93"/>
      <c r="E4" s="93"/>
      <c r="F4" s="93"/>
      <c r="G4" s="93"/>
      <c r="H4" s="9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116</v>
      </c>
      <c r="C8" s="91"/>
      <c r="D8" s="91"/>
      <c r="E8" s="91"/>
      <c r="F8" s="91"/>
      <c r="G8" s="91"/>
      <c r="H8" s="92"/>
      <c r="I8" s="1"/>
    </row>
    <row r="9" spans="1:9" x14ac:dyDescent="0.25">
      <c r="A9" s="1"/>
      <c r="B9" s="97" t="s">
        <v>105</v>
      </c>
      <c r="C9" s="98"/>
      <c r="D9" s="99"/>
      <c r="E9" s="11">
        <v>70266938.575185552</v>
      </c>
      <c r="F9" s="22" t="s">
        <v>2</v>
      </c>
      <c r="G9" s="19"/>
      <c r="H9" s="27"/>
      <c r="I9" s="1"/>
    </row>
    <row r="10" spans="1:9" x14ac:dyDescent="0.25">
      <c r="A10" s="1"/>
      <c r="B10" s="97" t="s">
        <v>106</v>
      </c>
      <c r="C10" s="98"/>
      <c r="D10" s="99"/>
      <c r="E10" s="11">
        <v>73757362</v>
      </c>
      <c r="F10" s="22" t="s">
        <v>2</v>
      </c>
      <c r="G10" s="14"/>
      <c r="H10" s="28"/>
      <c r="I10" s="1"/>
    </row>
    <row r="11" spans="1:9" x14ac:dyDescent="0.25">
      <c r="A11" s="1"/>
      <c r="B11" s="97" t="s">
        <v>112</v>
      </c>
      <c r="C11" s="98"/>
      <c r="D11" s="99"/>
      <c r="E11" s="11">
        <v>0</v>
      </c>
      <c r="F11" s="22" t="s">
        <v>2</v>
      </c>
      <c r="G11" s="14"/>
      <c r="H11" s="28"/>
      <c r="I11" s="1"/>
    </row>
    <row r="12" spans="1:9" x14ac:dyDescent="0.25">
      <c r="A12" s="1"/>
      <c r="B12" s="44" t="s">
        <v>107</v>
      </c>
      <c r="C12" s="45"/>
      <c r="D12" s="46"/>
      <c r="E12" s="17">
        <f>E9-(E10-E11)</f>
        <v>-3490423.4248144478</v>
      </c>
      <c r="F12" s="25" t="s">
        <v>2</v>
      </c>
      <c r="G12" s="17">
        <f>E12</f>
        <v>-3490423.4248144478</v>
      </c>
      <c r="H12" s="25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0" t="s">
        <v>117</v>
      </c>
      <c r="C17" s="91"/>
      <c r="D17" s="91"/>
      <c r="E17" s="91"/>
      <c r="F17" s="91"/>
      <c r="G17" s="91"/>
      <c r="H17" s="92"/>
      <c r="I17" s="1"/>
    </row>
    <row r="18" spans="1:9" x14ac:dyDescent="0.25">
      <c r="A18" s="1"/>
      <c r="B18" s="100" t="s">
        <v>118</v>
      </c>
      <c r="C18" s="101"/>
      <c r="D18" s="102"/>
      <c r="E18" s="11">
        <f>IF(E12&lt;0,E12,0)</f>
        <v>-3490423.4248144478</v>
      </c>
      <c r="F18" s="22" t="s">
        <v>2</v>
      </c>
      <c r="G18" s="14"/>
      <c r="H18" s="28"/>
      <c r="I18" s="1"/>
    </row>
    <row r="19" spans="1:9" x14ac:dyDescent="0.25">
      <c r="A19" s="1"/>
      <c r="B19" s="100" t="s">
        <v>113</v>
      </c>
      <c r="C19" s="101"/>
      <c r="D19" s="102"/>
      <c r="E19" s="11">
        <v>2</v>
      </c>
      <c r="F19" s="22" t="s">
        <v>38</v>
      </c>
      <c r="G19" s="14"/>
      <c r="H19" s="28"/>
      <c r="I19" s="1"/>
    </row>
    <row r="20" spans="1:9" x14ac:dyDescent="0.25">
      <c r="A20" s="1"/>
      <c r="B20" s="100" t="s">
        <v>119</v>
      </c>
      <c r="C20" s="101"/>
      <c r="D20" s="102"/>
      <c r="E20" s="11">
        <f>E18/E19</f>
        <v>-1745211.7124072239</v>
      </c>
      <c r="F20" s="22" t="s">
        <v>2</v>
      </c>
      <c r="G20" s="14"/>
      <c r="H20" s="28"/>
      <c r="I20" s="1"/>
    </row>
    <row r="21" spans="1:9" x14ac:dyDescent="0.25">
      <c r="A21" s="1"/>
      <c r="B21" s="90" t="s">
        <v>114</v>
      </c>
      <c r="C21" s="91"/>
      <c r="D21" s="91"/>
      <c r="E21" s="91"/>
      <c r="F21" s="92"/>
      <c r="G21" s="20">
        <f>E20</f>
        <v>-1745211.7124072239</v>
      </c>
      <c r="H21" s="21" t="s">
        <v>2</v>
      </c>
      <c r="I21" s="1"/>
    </row>
    <row r="22" spans="1:9" x14ac:dyDescent="0.25">
      <c r="A22" s="1"/>
      <c r="B22" s="90" t="s">
        <v>115</v>
      </c>
      <c r="C22" s="91"/>
      <c r="D22" s="91"/>
      <c r="E22" s="91"/>
      <c r="F22" s="92"/>
      <c r="G22" s="20">
        <f>G21*(1+Prisudvikling2019)^3</f>
        <v>-1835197.7197814116</v>
      </c>
      <c r="H22" s="21" t="s">
        <v>2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1">
    <mergeCell ref="B3:H4"/>
    <mergeCell ref="B8:H8"/>
    <mergeCell ref="B17:H17"/>
    <mergeCell ref="B9:D9"/>
    <mergeCell ref="B10:D10"/>
    <mergeCell ref="B11:D11"/>
    <mergeCell ref="B18:D18"/>
    <mergeCell ref="B19:D19"/>
    <mergeCell ref="B20:D20"/>
    <mergeCell ref="B21:F21"/>
    <mergeCell ref="B22:F22"/>
  </mergeCells>
  <pageMargins left="0.8020833333333333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59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2" width="25.28515625" style="2" customWidth="1"/>
    <col min="3" max="3" width="8.28515625" style="2" customWidth="1"/>
    <col min="4" max="6" width="10.7109375" style="2" customWidth="1"/>
    <col min="7" max="7" width="11.140625" style="2" customWidth="1"/>
    <col min="8" max="8" width="2.85546875" style="2" customWidth="1"/>
    <col min="9" max="9" width="3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130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127</v>
      </c>
      <c r="C8" s="91"/>
      <c r="D8" s="91"/>
      <c r="E8" s="91"/>
      <c r="F8" s="91"/>
      <c r="G8" s="91"/>
      <c r="H8" s="92"/>
      <c r="I8" s="1"/>
    </row>
    <row r="9" spans="1:9" ht="39" customHeight="1" x14ac:dyDescent="0.25">
      <c r="A9" s="1"/>
      <c r="B9" s="38" t="s">
        <v>89</v>
      </c>
      <c r="C9" s="38" t="s">
        <v>0</v>
      </c>
      <c r="D9" s="38" t="s">
        <v>19</v>
      </c>
      <c r="E9" s="18" t="s">
        <v>1</v>
      </c>
      <c r="F9" s="18" t="s">
        <v>21</v>
      </c>
      <c r="G9" s="18" t="s">
        <v>90</v>
      </c>
      <c r="H9" s="37"/>
      <c r="I9" s="1"/>
    </row>
    <row r="10" spans="1:9" x14ac:dyDescent="0.25">
      <c r="A10" s="1"/>
      <c r="B10" s="60" t="s">
        <v>140</v>
      </c>
      <c r="C10" s="61" t="s">
        <v>153</v>
      </c>
      <c r="D10" s="11">
        <v>262075.51</v>
      </c>
      <c r="E10" s="11">
        <f>D10/C10</f>
        <v>3494.3401333333336</v>
      </c>
      <c r="F10" s="11">
        <v>0</v>
      </c>
      <c r="G10" s="11">
        <v>0</v>
      </c>
      <c r="H10" s="22" t="s">
        <v>2</v>
      </c>
      <c r="I10" s="1"/>
    </row>
    <row r="11" spans="1:9" ht="39" x14ac:dyDescent="0.25">
      <c r="A11" s="1"/>
      <c r="B11" s="60" t="s">
        <v>141</v>
      </c>
      <c r="C11" s="61" t="s">
        <v>153</v>
      </c>
      <c r="D11" s="11">
        <v>25466588.09</v>
      </c>
      <c r="E11" s="11">
        <f t="shared" ref="E11:E21" si="0">D11/C11</f>
        <v>339554.50786666665</v>
      </c>
      <c r="F11" s="11">
        <v>0</v>
      </c>
      <c r="G11" s="11">
        <v>0</v>
      </c>
      <c r="H11" s="22" t="s">
        <v>2</v>
      </c>
      <c r="I11" s="1"/>
    </row>
    <row r="12" spans="1:9" x14ac:dyDescent="0.25">
      <c r="A12" s="1"/>
      <c r="B12" s="60" t="s">
        <v>142</v>
      </c>
      <c r="C12" s="61" t="s">
        <v>153</v>
      </c>
      <c r="D12" s="11">
        <v>2479696.25</v>
      </c>
      <c r="E12" s="11">
        <f t="shared" si="0"/>
        <v>33062.616666666669</v>
      </c>
      <c r="F12" s="11">
        <v>0</v>
      </c>
      <c r="G12" s="11">
        <v>0</v>
      </c>
      <c r="H12" s="22" t="s">
        <v>2</v>
      </c>
      <c r="I12" s="1"/>
    </row>
    <row r="13" spans="1:9" ht="26.25" x14ac:dyDescent="0.25">
      <c r="A13" s="1"/>
      <c r="B13" s="60" t="s">
        <v>143</v>
      </c>
      <c r="C13" s="61" t="s">
        <v>154</v>
      </c>
      <c r="D13" s="11">
        <v>1052483.9099999999</v>
      </c>
      <c r="E13" s="11">
        <f t="shared" si="0"/>
        <v>52624.195499999994</v>
      </c>
      <c r="F13" s="11">
        <v>0</v>
      </c>
      <c r="G13" s="11">
        <v>0</v>
      </c>
      <c r="H13" s="22" t="s">
        <v>2</v>
      </c>
      <c r="I13" s="1"/>
    </row>
    <row r="14" spans="1:9" ht="26.25" x14ac:dyDescent="0.25">
      <c r="A14" s="1"/>
      <c r="B14" s="60" t="s">
        <v>144</v>
      </c>
      <c r="C14" s="61" t="s">
        <v>155</v>
      </c>
      <c r="D14" s="11">
        <v>210222.16</v>
      </c>
      <c r="E14" s="11">
        <f t="shared" si="0"/>
        <v>21022.216</v>
      </c>
      <c r="F14" s="11">
        <v>0</v>
      </c>
      <c r="G14" s="11">
        <v>0</v>
      </c>
      <c r="H14" s="22" t="s">
        <v>2</v>
      </c>
      <c r="I14" s="1"/>
    </row>
    <row r="15" spans="1:9" x14ac:dyDescent="0.25">
      <c r="A15" s="1"/>
      <c r="B15" s="60" t="s">
        <v>145</v>
      </c>
      <c r="C15" s="61" t="s">
        <v>153</v>
      </c>
      <c r="D15" s="11">
        <v>1393742.34</v>
      </c>
      <c r="E15" s="11">
        <f t="shared" si="0"/>
        <v>18583.231200000002</v>
      </c>
      <c r="F15" s="11">
        <v>0</v>
      </c>
      <c r="G15" s="11">
        <v>0</v>
      </c>
      <c r="H15" s="22" t="s">
        <v>2</v>
      </c>
      <c r="I15" s="1"/>
    </row>
    <row r="16" spans="1:9" ht="39" x14ac:dyDescent="0.25">
      <c r="A16" s="1"/>
      <c r="B16" s="60" t="s">
        <v>146</v>
      </c>
      <c r="C16" s="61" t="s">
        <v>154</v>
      </c>
      <c r="D16" s="11">
        <v>581743.65</v>
      </c>
      <c r="E16" s="11">
        <f t="shared" si="0"/>
        <v>29087.182500000003</v>
      </c>
      <c r="F16" s="11">
        <v>0</v>
      </c>
      <c r="G16" s="11">
        <v>0</v>
      </c>
      <c r="H16" s="22" t="s">
        <v>2</v>
      </c>
      <c r="I16" s="1"/>
    </row>
    <row r="17" spans="1:9" ht="51.75" x14ac:dyDescent="0.25">
      <c r="A17" s="1"/>
      <c r="B17" s="60" t="s">
        <v>147</v>
      </c>
      <c r="C17" s="61" t="s">
        <v>156</v>
      </c>
      <c r="D17" s="11">
        <v>3807785.34</v>
      </c>
      <c r="E17" s="11">
        <f t="shared" si="0"/>
        <v>76155.7068</v>
      </c>
      <c r="F17" s="11">
        <v>0</v>
      </c>
      <c r="G17" s="11">
        <v>0</v>
      </c>
      <c r="H17" s="22" t="s">
        <v>2</v>
      </c>
      <c r="I17" s="1"/>
    </row>
    <row r="18" spans="1:9" ht="26.25" x14ac:dyDescent="0.25">
      <c r="A18" s="1"/>
      <c r="B18" s="60" t="s">
        <v>148</v>
      </c>
      <c r="C18" s="61" t="s">
        <v>153</v>
      </c>
      <c r="D18" s="11">
        <v>1066059.93</v>
      </c>
      <c r="E18" s="11">
        <f t="shared" si="0"/>
        <v>14214.132399999999</v>
      </c>
      <c r="F18" s="11">
        <v>0</v>
      </c>
      <c r="G18" s="11">
        <v>0</v>
      </c>
      <c r="H18" s="22" t="s">
        <v>2</v>
      </c>
      <c r="I18" s="1"/>
    </row>
    <row r="19" spans="1:9" ht="26.25" x14ac:dyDescent="0.25">
      <c r="A19" s="1"/>
      <c r="B19" s="60" t="s">
        <v>149</v>
      </c>
      <c r="C19" s="61" t="s">
        <v>153</v>
      </c>
      <c r="D19" s="11">
        <v>438460.13</v>
      </c>
      <c r="E19" s="11">
        <f t="shared" si="0"/>
        <v>5846.1350666666667</v>
      </c>
      <c r="F19" s="11">
        <v>0</v>
      </c>
      <c r="G19" s="11">
        <v>0</v>
      </c>
      <c r="H19" s="22" t="s">
        <v>2</v>
      </c>
      <c r="I19" s="1"/>
    </row>
    <row r="20" spans="1:9" x14ac:dyDescent="0.25">
      <c r="A20" s="1"/>
      <c r="B20" s="60" t="s">
        <v>150</v>
      </c>
      <c r="C20" s="61" t="s">
        <v>153</v>
      </c>
      <c r="D20" s="11">
        <v>264915.49</v>
      </c>
      <c r="E20" s="11">
        <f t="shared" si="0"/>
        <v>3532.206533333333</v>
      </c>
      <c r="F20" s="11">
        <v>0</v>
      </c>
      <c r="G20" s="11">
        <v>0</v>
      </c>
      <c r="H20" s="22" t="s">
        <v>2</v>
      </c>
      <c r="I20" s="1"/>
    </row>
    <row r="21" spans="1:9" ht="26.25" x14ac:dyDescent="0.25">
      <c r="A21" s="1"/>
      <c r="B21" s="60" t="s">
        <v>151</v>
      </c>
      <c r="C21" s="61" t="s">
        <v>153</v>
      </c>
      <c r="D21" s="11">
        <v>429862.88</v>
      </c>
      <c r="E21" s="11">
        <f t="shared" si="0"/>
        <v>5731.5050666666666</v>
      </c>
      <c r="F21" s="11">
        <v>0</v>
      </c>
      <c r="G21" s="11">
        <v>0</v>
      </c>
      <c r="H21" s="22" t="s">
        <v>2</v>
      </c>
      <c r="I21" s="1"/>
    </row>
    <row r="22" spans="1:9" ht="26.25" x14ac:dyDescent="0.25">
      <c r="A22" s="1"/>
      <c r="B22" s="60" t="s">
        <v>149</v>
      </c>
      <c r="C22" s="61" t="s">
        <v>153</v>
      </c>
      <c r="D22" s="11">
        <v>152951.21</v>
      </c>
      <c r="E22" s="11">
        <f t="shared" ref="E22:E23" si="1">D22/C22</f>
        <v>2039.3494666666666</v>
      </c>
      <c r="F22" s="11">
        <v>0</v>
      </c>
      <c r="G22" s="11">
        <v>0</v>
      </c>
      <c r="H22" s="22" t="s">
        <v>2</v>
      </c>
      <c r="I22" s="1"/>
    </row>
    <row r="23" spans="1:9" x14ac:dyDescent="0.25">
      <c r="A23" s="1"/>
      <c r="B23" s="60" t="s">
        <v>152</v>
      </c>
      <c r="C23" s="61" t="s">
        <v>153</v>
      </c>
      <c r="D23" s="11">
        <v>2125322.0299999998</v>
      </c>
      <c r="E23" s="11">
        <f t="shared" si="1"/>
        <v>28337.627066666664</v>
      </c>
      <c r="F23" s="11">
        <v>0</v>
      </c>
      <c r="G23" s="11">
        <v>0</v>
      </c>
      <c r="H23" s="22" t="s">
        <v>2</v>
      </c>
      <c r="I23" s="1"/>
    </row>
    <row r="24" spans="1:9" x14ac:dyDescent="0.25">
      <c r="A24" s="1"/>
      <c r="B24" s="90" t="s">
        <v>131</v>
      </c>
      <c r="C24" s="91"/>
      <c r="D24" s="92"/>
      <c r="E24" s="20">
        <f>SUM(E10:E23)</f>
        <v>633284.95226666657</v>
      </c>
      <c r="F24" s="20">
        <f>SUM(F10:F23)</f>
        <v>0</v>
      </c>
      <c r="G24" s="20">
        <f>SUM(G10:G23)</f>
        <v>0</v>
      </c>
      <c r="H24" s="21" t="s">
        <v>2</v>
      </c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1"/>
      <c r="C59" s="1"/>
      <c r="D59" s="1"/>
      <c r="E59" s="1"/>
      <c r="F59" s="1"/>
      <c r="G59" s="1"/>
      <c r="H59" s="1"/>
      <c r="I59" s="1"/>
    </row>
  </sheetData>
  <sheetProtection password="DFE9" sheet="1" objects="1" scenarios="1"/>
  <mergeCells count="3">
    <mergeCell ref="B3:H4"/>
    <mergeCell ref="B8:H8"/>
    <mergeCell ref="B24:D24"/>
  </mergeCells>
  <pageMargins left="0.76041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3" style="2" customWidth="1"/>
    <col min="3" max="3" width="3.7109375" style="2" hidden="1" customWidth="1"/>
    <col min="4" max="4" width="15.42578125" style="2" customWidth="1"/>
    <col min="5" max="5" width="3.28515625" style="2" customWidth="1"/>
    <col min="6" max="6" width="18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121</v>
      </c>
      <c r="C3" s="88"/>
      <c r="D3" s="88"/>
      <c r="E3" s="88"/>
      <c r="F3" s="88"/>
      <c r="G3" s="88"/>
      <c r="H3" s="1"/>
    </row>
    <row r="4" spans="1:8" ht="15" customHeight="1" x14ac:dyDescent="0.25">
      <c r="A4" s="1"/>
      <c r="B4" s="88"/>
      <c r="C4" s="88"/>
      <c r="D4" s="88"/>
      <c r="E4" s="88"/>
      <c r="F4" s="88"/>
      <c r="G4" s="88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39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34</v>
      </c>
      <c r="C9" s="37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5" t="s">
        <v>127</v>
      </c>
      <c r="C10" s="56"/>
      <c r="D10" s="57">
        <f>'Fane 8. Anlægsprojekter'!F24</f>
        <v>0</v>
      </c>
      <c r="E10" s="22" t="s">
        <v>2</v>
      </c>
      <c r="F10" s="11">
        <f>SUM('Fane 8. Anlægsprojekter'!E24,'Fane 8. Anlægsprojekter'!G24)</f>
        <v>633284.95226666657</v>
      </c>
      <c r="G10" s="22" t="s">
        <v>2</v>
      </c>
      <c r="H10" s="1"/>
    </row>
    <row r="11" spans="1:8" ht="26.25" x14ac:dyDescent="0.25">
      <c r="A11" s="1"/>
      <c r="B11" s="60" t="s">
        <v>139</v>
      </c>
      <c r="C11" s="62"/>
      <c r="D11" s="57">
        <v>0</v>
      </c>
      <c r="E11" s="22" t="s">
        <v>2</v>
      </c>
      <c r="F11" s="11">
        <v>15556</v>
      </c>
      <c r="G11" s="22" t="s">
        <v>2</v>
      </c>
      <c r="H11" s="1"/>
    </row>
    <row r="12" spans="1:8" x14ac:dyDescent="0.25">
      <c r="A12" s="1"/>
      <c r="B12" s="39" t="s">
        <v>69</v>
      </c>
      <c r="C12" s="41"/>
      <c r="D12" s="20">
        <f>SUM(D10:D11)</f>
        <v>0</v>
      </c>
      <c r="E12" s="21" t="s">
        <v>2</v>
      </c>
      <c r="F12" s="20">
        <f>SUM(F10:F11)</f>
        <v>648840.95226666657</v>
      </c>
      <c r="G12" s="21" t="s">
        <v>2</v>
      </c>
      <c r="H12" s="1"/>
    </row>
    <row r="13" spans="1:8" x14ac:dyDescent="0.25">
      <c r="A13" s="1"/>
      <c r="B13" s="39" t="s">
        <v>70</v>
      </c>
      <c r="C13" s="41"/>
      <c r="D13" s="20">
        <f>D12*(1+Prisudvikling2019)</f>
        <v>0</v>
      </c>
      <c r="E13" s="21" t="s">
        <v>2</v>
      </c>
      <c r="F13" s="20">
        <f>F12*(1+Prisudvikling2019)</f>
        <v>659806.36435997323</v>
      </c>
      <c r="G13" s="21" t="s">
        <v>2</v>
      </c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6.5703125" style="2" customWidth="1"/>
    <col min="5" max="5" width="3.28515625" style="2" customWidth="1"/>
    <col min="6" max="6" width="17.28515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3" t="s">
        <v>158</v>
      </c>
      <c r="C3" s="93"/>
      <c r="D3" s="93"/>
      <c r="E3" s="93"/>
      <c r="F3" s="93"/>
      <c r="G3" s="93"/>
      <c r="H3" s="1"/>
    </row>
    <row r="4" spans="1:8" ht="25.5" customHeight="1" x14ac:dyDescent="0.25">
      <c r="A4" s="1"/>
      <c r="B4" s="93"/>
      <c r="C4" s="93"/>
      <c r="D4" s="93"/>
      <c r="E4" s="93"/>
      <c r="F4" s="93"/>
      <c r="G4" s="93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35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36</v>
      </c>
      <c r="C9" s="30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5" t="s">
        <v>138</v>
      </c>
      <c r="C10" s="63"/>
      <c r="D10" s="11">
        <v>0</v>
      </c>
      <c r="E10" s="22" t="s">
        <v>2</v>
      </c>
      <c r="F10" s="11">
        <v>0</v>
      </c>
      <c r="G10" s="22" t="s">
        <v>2</v>
      </c>
      <c r="H10" s="1"/>
    </row>
    <row r="11" spans="1:8" x14ac:dyDescent="0.25">
      <c r="A11" s="1"/>
      <c r="B11" s="39" t="s">
        <v>71</v>
      </c>
      <c r="C11" s="41"/>
      <c r="D11" s="20">
        <f>SUM(D10:D10)</f>
        <v>0</v>
      </c>
      <c r="E11" s="21" t="s">
        <v>2</v>
      </c>
      <c r="F11" s="20">
        <f>SUM(F10:F10)</f>
        <v>0</v>
      </c>
      <c r="G11" s="21" t="s">
        <v>2</v>
      </c>
      <c r="H11" s="1"/>
    </row>
    <row r="12" spans="1:8" x14ac:dyDescent="0.25">
      <c r="A12" s="1"/>
      <c r="B12" s="39" t="s">
        <v>72</v>
      </c>
      <c r="C12" s="41"/>
      <c r="D12" s="20">
        <f>D11*(1+Prisudvikling2019)</f>
        <v>0</v>
      </c>
      <c r="E12" s="21" t="s">
        <v>2</v>
      </c>
      <c r="F12" s="20">
        <f>F11*(1+Prisudvikling2019)</f>
        <v>0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28515625" style="2" customWidth="1"/>
    <col min="7" max="7" width="5.140625" style="2" hidden="1" customWidth="1"/>
    <col min="8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3" t="s">
        <v>159</v>
      </c>
      <c r="C3" s="93"/>
      <c r="D3" s="93"/>
      <c r="E3" s="93"/>
      <c r="F3" s="93"/>
      <c r="G3" s="1"/>
      <c r="H3" s="1"/>
    </row>
    <row r="4" spans="1:8" ht="25.5" customHeight="1" x14ac:dyDescent="0.25">
      <c r="A4" s="1"/>
      <c r="B4" s="93"/>
      <c r="C4" s="93"/>
      <c r="D4" s="93"/>
      <c r="E4" s="93"/>
      <c r="F4" s="93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27</v>
      </c>
      <c r="C8" s="40"/>
      <c r="D8" s="40"/>
      <c r="E8" s="40"/>
      <c r="F8" s="41"/>
      <c r="G8" s="41"/>
      <c r="H8" s="1"/>
    </row>
    <row r="9" spans="1:8" x14ac:dyDescent="0.25">
      <c r="A9" s="1"/>
      <c r="B9" s="64" t="s">
        <v>44</v>
      </c>
      <c r="C9" s="65"/>
      <c r="D9" s="65"/>
      <c r="E9" s="66"/>
      <c r="F9" s="58">
        <v>1.7500000000000002E-2</v>
      </c>
      <c r="G9" s="59"/>
      <c r="H9" s="1"/>
    </row>
    <row r="10" spans="1:8" x14ac:dyDescent="0.25">
      <c r="A10" s="1"/>
      <c r="B10" s="64" t="s">
        <v>45</v>
      </c>
      <c r="C10" s="65"/>
      <c r="D10" s="65"/>
      <c r="E10" s="66"/>
      <c r="F10" s="58">
        <v>1.6899999999999998E-2</v>
      </c>
      <c r="G10" s="59"/>
      <c r="H10" s="1"/>
    </row>
    <row r="11" spans="1:8" x14ac:dyDescent="0.25">
      <c r="A11" s="1"/>
      <c r="B11" s="39"/>
      <c r="C11" s="40"/>
      <c r="D11" s="40"/>
      <c r="E11" s="40"/>
      <c r="F11" s="41"/>
      <c r="G11" s="4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39" t="s">
        <v>109</v>
      </c>
      <c r="C13" s="40"/>
      <c r="D13" s="40"/>
      <c r="E13" s="40"/>
      <c r="F13" s="41"/>
      <c r="G13" s="41"/>
      <c r="H13" s="1"/>
    </row>
    <row r="14" spans="1:8" x14ac:dyDescent="0.25">
      <c r="A14" s="1"/>
      <c r="B14" s="64" t="s">
        <v>13</v>
      </c>
      <c r="C14" s="65"/>
      <c r="D14" s="65"/>
      <c r="E14" s="66"/>
      <c r="F14" s="58">
        <v>1.9389691503430458E-2</v>
      </c>
      <c r="G14" s="59"/>
      <c r="H14" s="1"/>
    </row>
    <row r="15" spans="1:8" x14ac:dyDescent="0.25">
      <c r="A15" s="1"/>
      <c r="B15" s="39"/>
      <c r="C15" s="40"/>
      <c r="D15" s="40"/>
      <c r="E15" s="40"/>
      <c r="F15" s="41"/>
      <c r="G15" s="4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645833333333333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0.7109375" style="2" customWidth="1"/>
    <col min="6" max="6" width="3.28515625" style="2" customWidth="1"/>
    <col min="7" max="7" width="2.7109375" style="2" customWidth="1"/>
    <col min="8" max="8" width="9.140625" style="2"/>
    <col min="9" max="9" width="10.140625" style="2" bestFit="1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</row>
    <row r="2" spans="1:9" x14ac:dyDescent="0.25">
      <c r="A2" s="1"/>
      <c r="B2" s="1"/>
      <c r="C2" s="1"/>
      <c r="D2" s="1"/>
      <c r="E2" s="1"/>
      <c r="F2" s="1"/>
      <c r="G2" s="1"/>
    </row>
    <row r="3" spans="1:9" ht="15" customHeight="1" x14ac:dyDescent="0.25">
      <c r="A3" s="1"/>
      <c r="B3" s="88" t="s">
        <v>41</v>
      </c>
      <c r="C3" s="88"/>
      <c r="D3" s="88"/>
      <c r="E3" s="88"/>
      <c r="F3" s="88"/>
      <c r="G3" s="1"/>
      <c r="I3" s="36"/>
    </row>
    <row r="4" spans="1:9" ht="15" customHeight="1" x14ac:dyDescent="0.25">
      <c r="A4" s="1"/>
      <c r="B4" s="88"/>
      <c r="C4" s="88"/>
      <c r="D4" s="88"/>
      <c r="E4" s="88"/>
      <c r="F4" s="88"/>
      <c r="G4" s="1"/>
    </row>
    <row r="5" spans="1:9" x14ac:dyDescent="0.25">
      <c r="A5" s="1"/>
      <c r="B5" s="1"/>
      <c r="C5" s="1"/>
      <c r="D5" s="1"/>
      <c r="E5" s="1"/>
      <c r="F5" s="1"/>
      <c r="G5" s="1"/>
    </row>
    <row r="6" spans="1:9" x14ac:dyDescent="0.25">
      <c r="A6" s="1"/>
      <c r="B6" s="1"/>
      <c r="C6" s="1"/>
      <c r="D6" s="1"/>
      <c r="E6" s="1"/>
      <c r="F6" s="1"/>
      <c r="G6" s="1"/>
    </row>
    <row r="7" spans="1:9" x14ac:dyDescent="0.25">
      <c r="A7" s="1"/>
      <c r="B7" s="1"/>
      <c r="C7" s="1"/>
      <c r="D7" s="1"/>
      <c r="E7" s="1"/>
      <c r="F7" s="1"/>
      <c r="G7" s="1"/>
    </row>
    <row r="8" spans="1:9" x14ac:dyDescent="0.25">
      <c r="A8" s="1"/>
      <c r="B8" s="39" t="s">
        <v>25</v>
      </c>
      <c r="C8" s="40"/>
      <c r="D8" s="40"/>
      <c r="E8" s="40"/>
      <c r="F8" s="41"/>
      <c r="G8" s="1"/>
    </row>
    <row r="9" spans="1:9" ht="29.25" customHeight="1" x14ac:dyDescent="0.25">
      <c r="A9" s="1"/>
      <c r="B9" s="42" t="s">
        <v>49</v>
      </c>
      <c r="C9" s="7">
        <f>'Fane 3. Omkostninger i ØR2018'!G13</f>
        <v>44756461.131718412</v>
      </c>
      <c r="D9" s="8" t="s">
        <v>2</v>
      </c>
      <c r="E9" s="9"/>
      <c r="F9" s="10"/>
      <c r="G9" s="1"/>
    </row>
    <row r="10" spans="1:9" ht="15" customHeight="1" x14ac:dyDescent="0.25">
      <c r="A10" s="1"/>
      <c r="B10" s="43" t="s">
        <v>64</v>
      </c>
      <c r="C10" s="7">
        <f>'Fane 9. Tillæg'!D13</f>
        <v>0</v>
      </c>
      <c r="D10" s="8" t="s">
        <v>2</v>
      </c>
      <c r="E10" s="32"/>
      <c r="F10" s="13"/>
      <c r="G10" s="1"/>
    </row>
    <row r="11" spans="1:9" ht="15" customHeight="1" x14ac:dyDescent="0.25">
      <c r="A11" s="1"/>
      <c r="B11" s="43" t="s">
        <v>63</v>
      </c>
      <c r="C11" s="11">
        <f>'Fane 9. Tillæg'!F13</f>
        <v>659806.36435997323</v>
      </c>
      <c r="D11" s="8" t="s">
        <v>2</v>
      </c>
      <c r="E11" s="12"/>
      <c r="F11" s="13"/>
      <c r="G11" s="1"/>
    </row>
    <row r="12" spans="1:9" ht="15" customHeight="1" x14ac:dyDescent="0.25">
      <c r="A12" s="1"/>
      <c r="B12" s="43" t="s">
        <v>66</v>
      </c>
      <c r="C12" s="11">
        <f>-'Fane 10. Bortfald'!D12</f>
        <v>0</v>
      </c>
      <c r="D12" s="8" t="s">
        <v>2</v>
      </c>
      <c r="E12" s="12"/>
      <c r="F12" s="13"/>
      <c r="G12" s="1"/>
    </row>
    <row r="13" spans="1:9" ht="15" customHeight="1" x14ac:dyDescent="0.25">
      <c r="A13" s="1"/>
      <c r="B13" s="43" t="s">
        <v>65</v>
      </c>
      <c r="C13" s="11">
        <f>-'Fane 10. Bortfald'!F12</f>
        <v>0</v>
      </c>
      <c r="D13" s="8" t="s">
        <v>2</v>
      </c>
      <c r="E13" s="12"/>
      <c r="F13" s="13"/>
      <c r="G13" s="1"/>
    </row>
    <row r="14" spans="1:9" ht="15" customHeight="1" x14ac:dyDescent="0.25">
      <c r="A14" s="1"/>
      <c r="B14" s="43" t="s">
        <v>37</v>
      </c>
      <c r="C14" s="11">
        <f>C9*Prisudvikling2018+SUM(C10:C13)*Prisudvikling2019</f>
        <v>794388.79736275587</v>
      </c>
      <c r="D14" s="8" t="s">
        <v>2</v>
      </c>
      <c r="E14" s="12"/>
      <c r="F14" s="13"/>
      <c r="G14" s="1"/>
    </row>
    <row r="15" spans="1:9" ht="15" customHeight="1" x14ac:dyDescent="0.25">
      <c r="A15" s="1"/>
      <c r="B15" s="43" t="s">
        <v>13</v>
      </c>
      <c r="C15" s="11">
        <f>-SUM(C9:C14)*IndividueltKrav</f>
        <v>-896010.36970088084</v>
      </c>
      <c r="D15" s="8" t="s">
        <v>2</v>
      </c>
      <c r="E15" s="12"/>
      <c r="F15" s="13"/>
      <c r="G15" s="1"/>
    </row>
    <row r="16" spans="1:9" ht="15" customHeight="1" x14ac:dyDescent="0.25">
      <c r="A16" s="1"/>
      <c r="B16" s="43" t="s">
        <v>61</v>
      </c>
      <c r="C16" s="11">
        <f>-(('Fane 5. Generelt eff. krav'!G10-'Fane 5. Generelt eff. krav'!G9-'Fane 3. Omkostninger i ØR2018'!G12)*(1+Prisudvikling2018)*GenereltKravDrift2018+SUM(C10,C12)*(1+Prisudvikling2019)*GenereltKravDrift2019)</f>
        <v>-384158.35580746527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3" t="s">
        <v>62</v>
      </c>
      <c r="C17" s="11">
        <f>-(('Fane 5. Generelt eff. krav'!G12-'Fane 5. Generelt eff. krav'!G11)*(1+Prisudvikling2018)*GenereltKravAnlæg2018+SUM(C11,C13)*(1+Prisudvikling2019)*GenereltKravAnlæg2019)</f>
        <v>-489004.55967815162</v>
      </c>
      <c r="D17" s="8" t="s">
        <v>2</v>
      </c>
      <c r="E17" s="15"/>
      <c r="F17" s="16"/>
      <c r="G17" s="1"/>
    </row>
    <row r="18" spans="1:7" ht="15" customHeight="1" x14ac:dyDescent="0.25">
      <c r="A18" s="1"/>
      <c r="B18" s="44" t="s">
        <v>40</v>
      </c>
      <c r="C18" s="17">
        <f>SUM(C9:C17)</f>
        <v>44441483.00825464</v>
      </c>
      <c r="D18" s="18" t="s">
        <v>2</v>
      </c>
      <c r="E18" s="17">
        <f>C18</f>
        <v>44441483.00825464</v>
      </c>
      <c r="F18" s="18" t="s">
        <v>2</v>
      </c>
      <c r="G18" s="1"/>
    </row>
    <row r="19" spans="1:7" ht="15" customHeight="1" x14ac:dyDescent="0.25">
      <c r="A19" s="1"/>
      <c r="B19" s="39" t="s">
        <v>74</v>
      </c>
      <c r="C19" s="40"/>
      <c r="D19" s="40"/>
      <c r="E19" s="40"/>
      <c r="F19" s="41"/>
      <c r="G19" s="1"/>
    </row>
    <row r="20" spans="1:7" ht="15" customHeight="1" x14ac:dyDescent="0.25">
      <c r="A20" s="1"/>
      <c r="B20" s="43" t="s">
        <v>137</v>
      </c>
      <c r="C20" s="11">
        <v>0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3" t="s">
        <v>76</v>
      </c>
      <c r="C21" s="11">
        <f>-(C20*(GenereltKravDrift2018+IndividueltKrav))</f>
        <v>0</v>
      </c>
      <c r="D21" s="8" t="s">
        <v>2</v>
      </c>
      <c r="E21" s="12"/>
      <c r="F21" s="13"/>
      <c r="G21" s="1"/>
    </row>
    <row r="22" spans="1:7" ht="15" customHeight="1" x14ac:dyDescent="0.25">
      <c r="A22" s="1"/>
      <c r="B22" s="29" t="s">
        <v>77</v>
      </c>
      <c r="C22" s="17">
        <f>SUM(C20:C21)</f>
        <v>0</v>
      </c>
      <c r="D22" s="18" t="s">
        <v>2</v>
      </c>
      <c r="E22" s="17">
        <f>C22</f>
        <v>0</v>
      </c>
      <c r="F22" s="18" t="s">
        <v>2</v>
      </c>
      <c r="G22" s="1"/>
    </row>
    <row r="23" spans="1:7" ht="15" customHeight="1" x14ac:dyDescent="0.25">
      <c r="A23" s="1"/>
      <c r="B23" s="39" t="s">
        <v>22</v>
      </c>
      <c r="C23" s="40"/>
      <c r="D23" s="40"/>
      <c r="E23" s="40"/>
      <c r="F23" s="41"/>
      <c r="G23" s="1"/>
    </row>
    <row r="24" spans="1:7" ht="15" customHeight="1" x14ac:dyDescent="0.25">
      <c r="A24" s="1"/>
      <c r="B24" s="43" t="s">
        <v>22</v>
      </c>
      <c r="C24" s="11">
        <f>'Fane 4. Ikke-påvirkelige omk.'!E15</f>
        <v>43174539.434082516</v>
      </c>
      <c r="D24" s="8" t="s">
        <v>2</v>
      </c>
      <c r="E24" s="12"/>
      <c r="F24" s="13"/>
      <c r="G24" s="1"/>
    </row>
    <row r="25" spans="1:7" ht="15" customHeight="1" x14ac:dyDescent="0.25">
      <c r="A25" s="1"/>
      <c r="B25" s="43" t="s">
        <v>79</v>
      </c>
      <c r="C25" s="11">
        <v>0</v>
      </c>
      <c r="D25" s="8" t="s">
        <v>2</v>
      </c>
      <c r="E25" s="12"/>
      <c r="F25" s="13"/>
      <c r="G25" s="1"/>
    </row>
    <row r="26" spans="1:7" ht="15" customHeight="1" x14ac:dyDescent="0.25">
      <c r="A26" s="1"/>
      <c r="B26" s="43" t="s">
        <v>157</v>
      </c>
      <c r="C26" s="11">
        <v>6598266</v>
      </c>
      <c r="D26" s="8" t="s">
        <v>2</v>
      </c>
      <c r="E26" s="12"/>
      <c r="F26" s="13"/>
      <c r="G26" s="1"/>
    </row>
    <row r="27" spans="1:7" ht="15" customHeight="1" x14ac:dyDescent="0.25">
      <c r="A27" s="1"/>
      <c r="B27" s="29" t="s">
        <v>80</v>
      </c>
      <c r="C27" s="17">
        <f>SUM(C24:C26)</f>
        <v>49772805.434082516</v>
      </c>
      <c r="D27" s="18" t="s">
        <v>2</v>
      </c>
      <c r="E27" s="17">
        <f>C27</f>
        <v>49772805.434082516</v>
      </c>
      <c r="F27" s="18" t="s">
        <v>2</v>
      </c>
      <c r="G27" s="1"/>
    </row>
    <row r="28" spans="1:7" ht="15" customHeight="1" x14ac:dyDescent="0.25">
      <c r="A28" s="1"/>
      <c r="B28" s="39" t="s">
        <v>50</v>
      </c>
      <c r="C28" s="40"/>
      <c r="D28" s="40"/>
      <c r="E28" s="40"/>
      <c r="F28" s="41"/>
      <c r="G28" s="1"/>
    </row>
    <row r="29" spans="1:7" ht="15" customHeight="1" x14ac:dyDescent="0.25">
      <c r="A29" s="1"/>
      <c r="B29" s="42" t="s">
        <v>81</v>
      </c>
      <c r="C29" s="7">
        <v>0</v>
      </c>
      <c r="D29" s="8" t="s">
        <v>2</v>
      </c>
      <c r="E29" s="33"/>
      <c r="F29" s="13"/>
      <c r="G29" s="1"/>
    </row>
    <row r="30" spans="1:7" ht="15" customHeight="1" x14ac:dyDescent="0.25">
      <c r="A30" s="1"/>
      <c r="B30" s="42" t="s">
        <v>51</v>
      </c>
      <c r="C30" s="7">
        <v>-6410685</v>
      </c>
      <c r="D30" s="8" t="s">
        <v>2</v>
      </c>
      <c r="E30" s="32"/>
      <c r="F30" s="13"/>
      <c r="G30" s="1"/>
    </row>
    <row r="31" spans="1:7" ht="28.5" customHeight="1" x14ac:dyDescent="0.25">
      <c r="A31" s="1"/>
      <c r="B31" s="43" t="s">
        <v>52</v>
      </c>
      <c r="C31" s="7">
        <v>246002.18260868554</v>
      </c>
      <c r="D31" s="8" t="s">
        <v>2</v>
      </c>
      <c r="E31" s="32"/>
      <c r="F31" s="13"/>
      <c r="G31" s="1"/>
    </row>
    <row r="32" spans="1:7" ht="15" customHeight="1" x14ac:dyDescent="0.25">
      <c r="A32" s="1"/>
      <c r="B32" s="44" t="s">
        <v>53</v>
      </c>
      <c r="C32" s="17">
        <f>SUM(C29:C31)</f>
        <v>-6164682.8173913145</v>
      </c>
      <c r="D32" s="18" t="s">
        <v>2</v>
      </c>
      <c r="E32" s="17">
        <f>C32</f>
        <v>-6164682.8173913145</v>
      </c>
      <c r="F32" s="18" t="s">
        <v>2</v>
      </c>
      <c r="G32" s="1"/>
    </row>
    <row r="33" spans="1:7" x14ac:dyDescent="0.25">
      <c r="A33" s="1"/>
      <c r="B33" s="39" t="s">
        <v>15</v>
      </c>
      <c r="C33" s="40"/>
      <c r="D33" s="40"/>
      <c r="E33" s="40"/>
      <c r="F33" s="41"/>
      <c r="G33" s="1"/>
    </row>
    <row r="34" spans="1:7" ht="15" customHeight="1" x14ac:dyDescent="0.25">
      <c r="A34" s="1"/>
      <c r="B34" s="44" t="s">
        <v>24</v>
      </c>
      <c r="C34" s="17">
        <f>'Fane 6. Hist. over el. underdæk'!G13</f>
        <v>-19820488.259259254</v>
      </c>
      <c r="D34" s="18" t="s">
        <v>2</v>
      </c>
      <c r="E34" s="17">
        <f>C34</f>
        <v>-19820488.259259254</v>
      </c>
      <c r="F34" s="18" t="s">
        <v>2</v>
      </c>
      <c r="G34" s="1"/>
    </row>
    <row r="35" spans="1:7" x14ac:dyDescent="0.25">
      <c r="A35" s="1"/>
      <c r="B35" s="39" t="s">
        <v>33</v>
      </c>
      <c r="C35" s="40"/>
      <c r="D35" s="41"/>
      <c r="E35" s="20">
        <f>SUM(E18,E22,E27,E32,E34)</f>
        <v>68229117.365686581</v>
      </c>
      <c r="F35" s="21" t="s">
        <v>2</v>
      </c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9"/>
  <sheetViews>
    <sheetView showGridLines="0" view="pageLayout" zoomScaleNormal="100" workbookViewId="0"/>
  </sheetViews>
  <sheetFormatPr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8" t="s">
        <v>42</v>
      </c>
      <c r="C3" s="88"/>
      <c r="D3" s="88"/>
      <c r="E3" s="88"/>
      <c r="F3" s="88"/>
      <c r="G3" s="1"/>
    </row>
    <row r="4" spans="1:7" ht="15" customHeight="1" x14ac:dyDescent="0.25">
      <c r="A4" s="1"/>
      <c r="B4" s="88"/>
      <c r="C4" s="88"/>
      <c r="D4" s="88"/>
      <c r="E4" s="88"/>
      <c r="F4" s="88"/>
      <c r="G4" s="1"/>
    </row>
    <row r="5" spans="1:7" x14ac:dyDescent="0.25">
      <c r="A5" s="1"/>
      <c r="B5" s="89" t="s">
        <v>43</v>
      </c>
      <c r="C5" s="89"/>
      <c r="D5" s="89"/>
      <c r="E5" s="89"/>
      <c r="F5" s="89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0" t="s">
        <v>25</v>
      </c>
      <c r="C8" s="91"/>
      <c r="D8" s="91"/>
      <c r="E8" s="91"/>
      <c r="F8" s="92"/>
      <c r="G8" s="1"/>
    </row>
    <row r="9" spans="1:7" ht="15" customHeight="1" x14ac:dyDescent="0.25">
      <c r="A9" s="1"/>
      <c r="B9" s="42" t="s">
        <v>55</v>
      </c>
      <c r="C9" s="7">
        <f>'Fane 2.1. Økonomisk ramme 2019'!E18</f>
        <v>44441483.00825464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3" t="s">
        <v>37</v>
      </c>
      <c r="C10" s="11">
        <f>SUM(C9:C9)*Prisudvikling2019</f>
        <v>751061.06283950328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3" t="s">
        <v>13</v>
      </c>
      <c r="C11" s="11">
        <f>-SUM(C9:C10)*IndividueltKrav</f>
        <v>-876269.48779370054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3" t="s">
        <v>61</v>
      </c>
      <c r="C12" s="11">
        <f>('Fane 2.1. Økonomisk ramme 2019'!C16/GenereltKravDrift2018-'Fane 2.1. Økonomisk ramme 2019'!C16)*(1+Prisudvikling2019)*GenereltKravDrift2019</f>
        <v>-382837.61938019918</v>
      </c>
      <c r="D12" s="8" t="s">
        <v>2</v>
      </c>
      <c r="E12" s="14"/>
      <c r="F12" s="13"/>
      <c r="G12" s="1"/>
    </row>
    <row r="13" spans="1:7" ht="15" customHeight="1" x14ac:dyDescent="0.25">
      <c r="A13" s="1"/>
      <c r="B13" s="43" t="s">
        <v>62</v>
      </c>
      <c r="C13" s="11">
        <f>(('Fane 2.1. Økonomisk ramme 2019'!C17/GenereltKravAnlæg2018-'Fane 2.1. Økonomisk ramme 2019'!C17)*(1+Prisudvikling2019)*GenereltKravAnlæg2019)</f>
        <v>-240093.98852199494</v>
      </c>
      <c r="D13" s="8" t="s">
        <v>2</v>
      </c>
      <c r="E13" s="15"/>
      <c r="F13" s="16"/>
      <c r="G13" s="1"/>
    </row>
    <row r="14" spans="1:7" ht="15" customHeight="1" x14ac:dyDescent="0.25">
      <c r="A14" s="1"/>
      <c r="B14" s="44" t="s">
        <v>40</v>
      </c>
      <c r="C14" s="17">
        <f>SUM(C9:C13)</f>
        <v>43693342.97539825</v>
      </c>
      <c r="D14" s="18" t="s">
        <v>2</v>
      </c>
      <c r="E14" s="17">
        <f>C14</f>
        <v>43693342.97539825</v>
      </c>
      <c r="F14" s="18" t="s">
        <v>2</v>
      </c>
      <c r="G14" s="1"/>
    </row>
    <row r="15" spans="1:7" ht="15" customHeight="1" x14ac:dyDescent="0.25">
      <c r="A15" s="1"/>
      <c r="B15" s="90" t="s">
        <v>74</v>
      </c>
      <c r="C15" s="91"/>
      <c r="D15" s="91"/>
      <c r="E15" s="91"/>
      <c r="F15" s="92"/>
      <c r="G15" s="1"/>
    </row>
    <row r="16" spans="1:7" ht="15" customHeight="1" x14ac:dyDescent="0.25">
      <c r="A16" s="1"/>
      <c r="B16" s="43" t="s">
        <v>137</v>
      </c>
      <c r="C16" s="11"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3" t="s">
        <v>76</v>
      </c>
      <c r="C17" s="11">
        <f>-(C16*(GenereltKravDrift2019+IndividueltKrav))</f>
        <v>0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0</v>
      </c>
      <c r="D18" s="18" t="s">
        <v>2</v>
      </c>
      <c r="E18" s="17">
        <f>C18</f>
        <v>0</v>
      </c>
      <c r="F18" s="18" t="s">
        <v>2</v>
      </c>
      <c r="G18" s="1"/>
    </row>
    <row r="19" spans="1:7" x14ac:dyDescent="0.25">
      <c r="A19" s="1"/>
      <c r="B19" s="90" t="s">
        <v>22</v>
      </c>
      <c r="C19" s="91"/>
      <c r="D19" s="91"/>
      <c r="E19" s="91"/>
      <c r="F19" s="92"/>
      <c r="G19" s="1"/>
    </row>
    <row r="20" spans="1:7" ht="15" customHeight="1" x14ac:dyDescent="0.25">
      <c r="A20" s="1"/>
      <c r="B20" s="43" t="s">
        <v>22</v>
      </c>
      <c r="C20" s="11">
        <f>'Fane 4. Ikke-påvirkelige omk.'!E15*(1+Prisudvikling2019)</f>
        <v>43904189.150518507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3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43" t="s">
        <v>157</v>
      </c>
      <c r="C22" s="11">
        <v>6598266</v>
      </c>
      <c r="D22" s="8" t="s">
        <v>2</v>
      </c>
      <c r="E22" s="14"/>
      <c r="F22" s="13"/>
      <c r="G22" s="1"/>
    </row>
    <row r="23" spans="1:7" ht="15" customHeight="1" x14ac:dyDescent="0.25">
      <c r="A23" s="1"/>
      <c r="B23" s="29" t="s">
        <v>80</v>
      </c>
      <c r="C23" s="17">
        <f>SUM(C20:C22)</f>
        <v>50502455.150518507</v>
      </c>
      <c r="D23" s="18" t="s">
        <v>2</v>
      </c>
      <c r="E23" s="17">
        <f>C23</f>
        <v>50502455.150518507</v>
      </c>
      <c r="F23" s="18" t="s">
        <v>2</v>
      </c>
      <c r="G23" s="1"/>
    </row>
    <row r="24" spans="1:7" x14ac:dyDescent="0.25">
      <c r="A24" s="1"/>
      <c r="B24" s="90" t="s">
        <v>15</v>
      </c>
      <c r="C24" s="91"/>
      <c r="D24" s="91"/>
      <c r="E24" s="91"/>
      <c r="F24" s="92"/>
      <c r="G24" s="1"/>
    </row>
    <row r="25" spans="1:7" ht="15" customHeight="1" x14ac:dyDescent="0.25">
      <c r="A25" s="1"/>
      <c r="B25" s="29" t="s">
        <v>24</v>
      </c>
      <c r="C25" s="17">
        <f>IF('Fane 6. Hist. over el. underdæk'!G12&gt;1,'Fane 6. Hist. over el. underdæk'!G13,0)</f>
        <v>0</v>
      </c>
      <c r="D25" s="18" t="s">
        <v>2</v>
      </c>
      <c r="E25" s="17">
        <f>C25</f>
        <v>0</v>
      </c>
      <c r="F25" s="18" t="s">
        <v>2</v>
      </c>
      <c r="G25" s="1"/>
    </row>
    <row r="26" spans="1:7" x14ac:dyDescent="0.25">
      <c r="A26" s="1"/>
      <c r="B26" s="90" t="s">
        <v>116</v>
      </c>
      <c r="C26" s="91"/>
      <c r="D26" s="91"/>
      <c r="E26" s="91"/>
      <c r="F26" s="92"/>
      <c r="G26" s="1"/>
    </row>
    <row r="27" spans="1:7" ht="15" customHeight="1" x14ac:dyDescent="0.25">
      <c r="A27" s="1"/>
      <c r="B27" s="29" t="s">
        <v>108</v>
      </c>
      <c r="C27" s="17">
        <f>'Fane 7. Kontrol af ØR2017'!G22</f>
        <v>-1835197.7197814116</v>
      </c>
      <c r="D27" s="18" t="s">
        <v>2</v>
      </c>
      <c r="E27" s="17">
        <f>C27</f>
        <v>-1835197.7197814116</v>
      </c>
      <c r="F27" s="18" t="s">
        <v>2</v>
      </c>
      <c r="G27" s="1"/>
    </row>
    <row r="28" spans="1:7" x14ac:dyDescent="0.25">
      <c r="A28" s="1"/>
      <c r="B28" s="39" t="s">
        <v>56</v>
      </c>
      <c r="C28" s="40"/>
      <c r="D28" s="41"/>
      <c r="E28" s="20">
        <f>SUM(E14,E18,E23,E25,E27)</f>
        <v>92360600.406135336</v>
      </c>
      <c r="F28" s="21" t="s">
        <v>2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password="DFE9" sheet="1" objects="1" scenarios="1"/>
  <mergeCells count="7">
    <mergeCell ref="B3:F4"/>
    <mergeCell ref="B5:F5"/>
    <mergeCell ref="B26:F26"/>
    <mergeCell ref="B24:F24"/>
    <mergeCell ref="B19:F19"/>
    <mergeCell ref="B15:F15"/>
    <mergeCell ref="B8:F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8"/>
  <sheetViews>
    <sheetView showGridLines="0" view="pageLayout" zoomScaleNormal="100" workbookViewId="0"/>
  </sheetViews>
  <sheetFormatPr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8" t="s">
        <v>91</v>
      </c>
      <c r="C3" s="88"/>
      <c r="D3" s="88"/>
      <c r="E3" s="88"/>
      <c r="F3" s="88"/>
      <c r="G3" s="1"/>
    </row>
    <row r="4" spans="1:7" ht="15" customHeight="1" x14ac:dyDescent="0.25">
      <c r="A4" s="1"/>
      <c r="B4" s="88"/>
      <c r="C4" s="88"/>
      <c r="D4" s="88"/>
      <c r="E4" s="88"/>
      <c r="F4" s="88"/>
      <c r="G4" s="1"/>
    </row>
    <row r="5" spans="1:7" x14ac:dyDescent="0.25">
      <c r="A5" s="1"/>
      <c r="B5" s="89" t="s">
        <v>43</v>
      </c>
      <c r="C5" s="89"/>
      <c r="D5" s="89"/>
      <c r="E5" s="89"/>
      <c r="F5" s="89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25</v>
      </c>
      <c r="C8" s="40"/>
      <c r="D8" s="40"/>
      <c r="E8" s="40"/>
      <c r="F8" s="41"/>
      <c r="G8" s="1"/>
    </row>
    <row r="9" spans="1:7" ht="27.75" customHeight="1" x14ac:dyDescent="0.25">
      <c r="A9" s="1"/>
      <c r="B9" s="42" t="s">
        <v>57</v>
      </c>
      <c r="C9" s="7">
        <f>'Fane 2.2. Økonomisk ramme 2020'!E14</f>
        <v>43693342.97539825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3" t="s">
        <v>37</v>
      </c>
      <c r="C10" s="11">
        <f>C9*Prisudvikling2019</f>
        <v>738417.49628423038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3" t="s">
        <v>13</v>
      </c>
      <c r="C11" s="11">
        <f>-SUM(C9:C10)*IndividueltKrav</f>
        <v>-861518.12850023911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3" t="s">
        <v>61</v>
      </c>
      <c r="C12" s="11">
        <f>(('Fane 2.2. Økonomisk ramme 2020'!C12/GenereltKravDrift2019-'Fane 2.2. Økonomisk ramme 2020'!C12)*(1+Prisudvikling2019)*GenereltKravDrift2019)</f>
        <v>-381521.42364477</v>
      </c>
      <c r="D12" s="8" t="s">
        <v>2</v>
      </c>
      <c r="E12" s="15"/>
      <c r="F12" s="16"/>
      <c r="G12" s="1"/>
    </row>
    <row r="13" spans="1:7" ht="15" customHeight="1" x14ac:dyDescent="0.25">
      <c r="A13" s="1"/>
      <c r="B13" s="43" t="s">
        <v>62</v>
      </c>
      <c r="C13" s="11">
        <f>(('Fane 2.2. Økonomisk ramme 2020'!C13/GenereltKravAnlæg2019-'Fane 2.2. Økonomisk ramme 2020'!C13)*(1+Prisudvikling2019)*GenereltKravAnlæg2019)</f>
        <v>-242027.4582087429</v>
      </c>
      <c r="D13" s="8" t="s">
        <v>2</v>
      </c>
      <c r="E13" s="15"/>
      <c r="F13" s="16"/>
      <c r="G13" s="1"/>
    </row>
    <row r="14" spans="1:7" x14ac:dyDescent="0.25">
      <c r="A14" s="1"/>
      <c r="B14" s="44" t="s">
        <v>40</v>
      </c>
      <c r="C14" s="17">
        <f>SUM(C9:C13)</f>
        <v>42946693.46132873</v>
      </c>
      <c r="D14" s="18" t="s">
        <v>2</v>
      </c>
      <c r="E14" s="17">
        <f>C14</f>
        <v>42946693.46132873</v>
      </c>
      <c r="F14" s="18" t="s">
        <v>2</v>
      </c>
      <c r="G14" s="1"/>
    </row>
    <row r="15" spans="1:7" x14ac:dyDescent="0.25">
      <c r="A15" s="1"/>
      <c r="B15" s="39" t="s">
        <v>74</v>
      </c>
      <c r="C15" s="40"/>
      <c r="D15" s="40"/>
      <c r="E15" s="40"/>
      <c r="F15" s="41"/>
      <c r="G15" s="1"/>
    </row>
    <row r="16" spans="1:7" ht="15" customHeight="1" x14ac:dyDescent="0.25">
      <c r="A16" s="1"/>
      <c r="B16" s="43" t="s">
        <v>137</v>
      </c>
      <c r="C16" s="11"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3" t="s">
        <v>76</v>
      </c>
      <c r="C17" s="11">
        <f>-(C16*(GenereltKravDrift2019+IndividueltKrav))</f>
        <v>0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0</v>
      </c>
      <c r="D18" s="18" t="s">
        <v>2</v>
      </c>
      <c r="E18" s="17">
        <f>C18</f>
        <v>0</v>
      </c>
      <c r="F18" s="18" t="s">
        <v>2</v>
      </c>
      <c r="G18" s="1"/>
    </row>
    <row r="19" spans="1:7" x14ac:dyDescent="0.25">
      <c r="A19" s="1"/>
      <c r="B19" s="39" t="s">
        <v>22</v>
      </c>
      <c r="C19" s="40"/>
      <c r="D19" s="40"/>
      <c r="E19" s="40"/>
      <c r="F19" s="41"/>
      <c r="G19" s="1"/>
    </row>
    <row r="20" spans="1:7" ht="15" customHeight="1" x14ac:dyDescent="0.25">
      <c r="A20" s="1"/>
      <c r="B20" s="43" t="s">
        <v>22</v>
      </c>
      <c r="C20" s="11">
        <f>'Fane 4. Ikke-påvirkelige omk.'!E15*(1+Prisudvikling2019)^2</f>
        <v>44646169.947162263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3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43" t="s">
        <v>157</v>
      </c>
      <c r="C22" s="11">
        <v>6598266</v>
      </c>
      <c r="D22" s="8" t="s">
        <v>2</v>
      </c>
      <c r="E22" s="14"/>
      <c r="F22" s="13"/>
      <c r="G22" s="1"/>
    </row>
    <row r="23" spans="1:7" ht="15" customHeight="1" x14ac:dyDescent="0.25">
      <c r="A23" s="1"/>
      <c r="B23" s="29" t="s">
        <v>80</v>
      </c>
      <c r="C23" s="17">
        <f>SUM(C20:C22)</f>
        <v>51244435.947162263</v>
      </c>
      <c r="D23" s="18" t="s">
        <v>2</v>
      </c>
      <c r="E23" s="17">
        <f>C23</f>
        <v>51244435.947162263</v>
      </c>
      <c r="F23" s="18" t="s">
        <v>2</v>
      </c>
      <c r="G23" s="1"/>
    </row>
    <row r="24" spans="1:7" ht="15" customHeight="1" x14ac:dyDescent="0.25">
      <c r="A24" s="1"/>
      <c r="B24" s="39" t="s">
        <v>116</v>
      </c>
      <c r="C24" s="40"/>
      <c r="D24" s="40"/>
      <c r="E24" s="40"/>
      <c r="F24" s="41"/>
      <c r="G24" s="1"/>
    </row>
    <row r="25" spans="1:7" ht="15" customHeight="1" x14ac:dyDescent="0.25">
      <c r="A25" s="1"/>
      <c r="B25" s="29" t="s">
        <v>108</v>
      </c>
      <c r="C25" s="17">
        <f>'Fane 2.2. Økonomisk ramme 2020'!C27*(1+Prisudvikling2019)</f>
        <v>-1866212.5612457173</v>
      </c>
      <c r="D25" s="18" t="s">
        <v>2</v>
      </c>
      <c r="E25" s="17">
        <f>C25</f>
        <v>-1866212.5612457173</v>
      </c>
      <c r="F25" s="18" t="s">
        <v>2</v>
      </c>
      <c r="G25" s="1"/>
    </row>
    <row r="26" spans="1:7" x14ac:dyDescent="0.25">
      <c r="A26" s="1"/>
      <c r="B26" s="39" t="s">
        <v>68</v>
      </c>
      <c r="C26" s="40"/>
      <c r="D26" s="41"/>
      <c r="E26" s="20">
        <f>SUM(E14,E18,E23,E25)</f>
        <v>92324916.847245261</v>
      </c>
      <c r="F26" s="21" t="s">
        <v>2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8"/>
  <sheetViews>
    <sheetView showGridLines="0" view="pageLayout" zoomScaleNormal="100" workbookViewId="0"/>
  </sheetViews>
  <sheetFormatPr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8" t="s">
        <v>92</v>
      </c>
      <c r="C3" s="88"/>
      <c r="D3" s="88"/>
      <c r="E3" s="88"/>
      <c r="F3" s="88"/>
      <c r="G3" s="1"/>
    </row>
    <row r="4" spans="1:7" ht="15" customHeight="1" x14ac:dyDescent="0.25">
      <c r="A4" s="1"/>
      <c r="B4" s="88"/>
      <c r="C4" s="88"/>
      <c r="D4" s="88"/>
      <c r="E4" s="88"/>
      <c r="F4" s="88"/>
      <c r="G4" s="1"/>
    </row>
    <row r="5" spans="1:7" x14ac:dyDescent="0.25">
      <c r="A5" s="1"/>
      <c r="B5" s="89" t="s">
        <v>43</v>
      </c>
      <c r="C5" s="89"/>
      <c r="D5" s="89"/>
      <c r="E5" s="89"/>
      <c r="F5" s="89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9" t="s">
        <v>25</v>
      </c>
      <c r="C7" s="40"/>
      <c r="D7" s="40"/>
      <c r="E7" s="40"/>
      <c r="F7" s="41"/>
      <c r="G7" s="1"/>
    </row>
    <row r="8" spans="1:7" ht="27.75" customHeight="1" x14ac:dyDescent="0.25">
      <c r="A8" s="1"/>
      <c r="B8" s="42" t="s">
        <v>58</v>
      </c>
      <c r="C8" s="7">
        <f>'Fane 2.3. Økonomisk ramme 2021'!E14</f>
        <v>42946693.46132873</v>
      </c>
      <c r="D8" s="8" t="s">
        <v>2</v>
      </c>
      <c r="E8" s="9"/>
      <c r="F8" s="10"/>
      <c r="G8" s="1"/>
    </row>
    <row r="9" spans="1:7" ht="15" customHeight="1" x14ac:dyDescent="0.25">
      <c r="A9" s="1"/>
      <c r="B9" s="43" t="s">
        <v>37</v>
      </c>
      <c r="C9" s="11">
        <f>C8*Prisudvikling2019</f>
        <v>725799.11949645542</v>
      </c>
      <c r="D9" s="8" t="s">
        <v>2</v>
      </c>
      <c r="E9" s="12"/>
      <c r="F9" s="13"/>
      <c r="G9" s="1"/>
    </row>
    <row r="10" spans="1:7" ht="15" customHeight="1" x14ac:dyDescent="0.25">
      <c r="A10" s="1"/>
      <c r="B10" s="43" t="s">
        <v>13</v>
      </c>
      <c r="C10" s="11">
        <f>-SUM(C8:C9)*IndividueltKrav</f>
        <v>-846796.15832805587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3" t="s">
        <v>61</v>
      </c>
      <c r="C11" s="11">
        <f>('Fane 2.3. Økonomisk ramme 2021'!C12/GenereltKravDrift2019-'Fane 2.3. Økonomisk ramme 2021'!C12)*(1+Prisudvikling2019)*GenereltKravDrift2019</f>
        <v>-380209.75299027929</v>
      </c>
      <c r="D11" s="8" t="s">
        <v>2</v>
      </c>
      <c r="E11" s="14"/>
      <c r="F11" s="13"/>
      <c r="G11" s="1"/>
    </row>
    <row r="12" spans="1:7" ht="15" customHeight="1" x14ac:dyDescent="0.25">
      <c r="A12" s="1"/>
      <c r="B12" s="43" t="s">
        <v>62</v>
      </c>
      <c r="C12" s="11">
        <f>('Fane 2.3. Økonomisk ramme 2021'!C13/GenereltKravAnlæg2019-'Fane 2.3. Økonomisk ramme 2021'!C13)*(1+Prisudvikling2019)*GenereltKravAnlæg2019</f>
        <v>-243976.49806887415</v>
      </c>
      <c r="D12" s="8" t="s">
        <v>2</v>
      </c>
      <c r="E12" s="15"/>
      <c r="F12" s="16"/>
      <c r="G12" s="1"/>
    </row>
    <row r="13" spans="1:7" x14ac:dyDescent="0.25">
      <c r="A13" s="1"/>
      <c r="B13" s="44" t="s">
        <v>40</v>
      </c>
      <c r="C13" s="17">
        <f>SUM(C8:C12)</f>
        <v>42201510.171437979</v>
      </c>
      <c r="D13" s="18" t="s">
        <v>2</v>
      </c>
      <c r="E13" s="17">
        <f>C13</f>
        <v>42201510.171437979</v>
      </c>
      <c r="F13" s="18" t="s">
        <v>2</v>
      </c>
      <c r="G13" s="1"/>
    </row>
    <row r="14" spans="1:7" x14ac:dyDescent="0.25">
      <c r="A14" s="1"/>
      <c r="B14" s="39" t="s">
        <v>74</v>
      </c>
      <c r="C14" s="40"/>
      <c r="D14" s="40"/>
      <c r="E14" s="40"/>
      <c r="F14" s="41"/>
      <c r="G14" s="1"/>
    </row>
    <row r="15" spans="1:7" ht="15" customHeight="1" x14ac:dyDescent="0.25">
      <c r="A15" s="1"/>
      <c r="B15" s="43" t="s">
        <v>137</v>
      </c>
      <c r="C15" s="11">
        <v>0</v>
      </c>
      <c r="D15" s="8" t="s">
        <v>2</v>
      </c>
      <c r="E15" s="12"/>
      <c r="F15" s="13"/>
      <c r="G15" s="1"/>
    </row>
    <row r="16" spans="1:7" ht="15" customHeight="1" x14ac:dyDescent="0.25">
      <c r="A16" s="1"/>
      <c r="B16" s="43" t="s">
        <v>76</v>
      </c>
      <c r="C16" s="11">
        <f>-(C15*(GenereltKravDrift2019+IndividueltKrav))</f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29" t="s">
        <v>77</v>
      </c>
      <c r="C17" s="17">
        <f>SUM(C15:C16)</f>
        <v>0</v>
      </c>
      <c r="D17" s="18" t="s">
        <v>2</v>
      </c>
      <c r="E17" s="17">
        <f>C17</f>
        <v>0</v>
      </c>
      <c r="F17" s="18" t="s">
        <v>2</v>
      </c>
      <c r="G17" s="1"/>
    </row>
    <row r="18" spans="1:7" x14ac:dyDescent="0.25">
      <c r="A18" s="1"/>
      <c r="B18" s="39" t="s">
        <v>22</v>
      </c>
      <c r="C18" s="40"/>
      <c r="D18" s="40"/>
      <c r="E18" s="40"/>
      <c r="F18" s="41"/>
      <c r="G18" s="1"/>
    </row>
    <row r="19" spans="1:7" ht="15" customHeight="1" x14ac:dyDescent="0.25">
      <c r="A19" s="1"/>
      <c r="B19" s="43" t="s">
        <v>22</v>
      </c>
      <c r="C19" s="11">
        <f>'Fane 4. Ikke-påvirkelige omk.'!E15*(1+Prisudvikling2019)^3</f>
        <v>45400690.219269298</v>
      </c>
      <c r="D19" s="8" t="s">
        <v>2</v>
      </c>
      <c r="E19" s="12"/>
      <c r="F19" s="13"/>
      <c r="G19" s="1"/>
    </row>
    <row r="20" spans="1:7" ht="15" customHeight="1" x14ac:dyDescent="0.25">
      <c r="A20" s="1"/>
      <c r="B20" s="43" t="s">
        <v>79</v>
      </c>
      <c r="C20" s="11">
        <v>0</v>
      </c>
      <c r="D20" s="8" t="s">
        <v>2</v>
      </c>
      <c r="E20" s="14"/>
      <c r="F20" s="13"/>
      <c r="G20" s="1"/>
    </row>
    <row r="21" spans="1:7" ht="15" customHeight="1" x14ac:dyDescent="0.25">
      <c r="A21" s="1"/>
      <c r="B21" s="43" t="s">
        <v>157</v>
      </c>
      <c r="C21" s="11">
        <v>6598266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80</v>
      </c>
      <c r="C22" s="17">
        <f>SUM(C19:C21)</f>
        <v>51998956.219269298</v>
      </c>
      <c r="D22" s="18" t="s">
        <v>2</v>
      </c>
      <c r="E22" s="17">
        <f>C22</f>
        <v>51998956.219269298</v>
      </c>
      <c r="F22" s="18" t="s">
        <v>2</v>
      </c>
      <c r="G22" s="1"/>
    </row>
    <row r="23" spans="1:7" x14ac:dyDescent="0.25">
      <c r="A23" s="1"/>
      <c r="B23" s="39" t="s">
        <v>78</v>
      </c>
      <c r="C23" s="40"/>
      <c r="D23" s="41"/>
      <c r="E23" s="20">
        <f>SUM(E13,E17,E22)</f>
        <v>94200466.390707284</v>
      </c>
      <c r="F23" s="21" t="s">
        <v>2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710937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3" t="s">
        <v>93</v>
      </c>
      <c r="C3" s="93"/>
      <c r="D3" s="93"/>
      <c r="E3" s="93"/>
      <c r="F3" s="93"/>
      <c r="G3" s="93"/>
      <c r="H3" s="93"/>
      <c r="I3" s="1"/>
    </row>
    <row r="4" spans="1:9" ht="29.25" customHeight="1" x14ac:dyDescent="0.25">
      <c r="A4" s="1"/>
      <c r="B4" s="93"/>
      <c r="C4" s="93"/>
      <c r="D4" s="93"/>
      <c r="E4" s="93"/>
      <c r="F4" s="93"/>
      <c r="G4" s="93"/>
      <c r="H4" s="9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49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64" t="s">
        <v>32</v>
      </c>
      <c r="C9" s="65"/>
      <c r="D9" s="65"/>
      <c r="E9" s="65"/>
      <c r="F9" s="66"/>
      <c r="G9" s="11">
        <v>86480924.653222084</v>
      </c>
      <c r="H9" s="22" t="s">
        <v>2</v>
      </c>
      <c r="I9" s="1"/>
    </row>
    <row r="10" spans="1:9" x14ac:dyDescent="0.25">
      <c r="A10" s="1"/>
      <c r="B10" s="47" t="s">
        <v>73</v>
      </c>
      <c r="C10" s="65"/>
      <c r="D10" s="65"/>
      <c r="E10" s="65"/>
      <c r="F10" s="66"/>
      <c r="G10" s="11">
        <v>0</v>
      </c>
      <c r="H10" s="22" t="s">
        <v>2</v>
      </c>
      <c r="I10" s="1"/>
    </row>
    <row r="11" spans="1:9" x14ac:dyDescent="0.25">
      <c r="A11" s="1"/>
      <c r="B11" s="47" t="s">
        <v>48</v>
      </c>
      <c r="C11" s="65"/>
      <c r="D11" s="65"/>
      <c r="E11" s="65"/>
      <c r="F11" s="66"/>
      <c r="G11" s="11">
        <v>41724463.521503672</v>
      </c>
      <c r="H11" s="22" t="s">
        <v>2</v>
      </c>
      <c r="I11" s="1"/>
    </row>
    <row r="12" spans="1:9" x14ac:dyDescent="0.25">
      <c r="A12" s="1"/>
      <c r="B12" s="47" t="s">
        <v>75</v>
      </c>
      <c r="C12" s="65"/>
      <c r="D12" s="65"/>
      <c r="E12" s="65"/>
      <c r="F12" s="66"/>
      <c r="G12" s="11">
        <v>0</v>
      </c>
      <c r="H12" s="22" t="s">
        <v>2</v>
      </c>
      <c r="I12" s="1"/>
    </row>
    <row r="13" spans="1:9" ht="26.25" customHeight="1" x14ac:dyDescent="0.25">
      <c r="A13" s="1"/>
      <c r="B13" s="48" t="s">
        <v>59</v>
      </c>
      <c r="C13" s="40"/>
      <c r="D13" s="40"/>
      <c r="E13" s="40"/>
      <c r="F13" s="41"/>
      <c r="G13" s="34">
        <f>G9-G10-G11</f>
        <v>44756461.131718412</v>
      </c>
      <c r="H13" s="35" t="s">
        <v>2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9.140625" style="2"/>
    <col min="3" max="3" width="20.28515625" style="2" customWidth="1"/>
    <col min="4" max="4" width="9.140625" style="2" customWidth="1"/>
    <col min="5" max="5" width="24.7109375" style="2" customWidth="1"/>
    <col min="6" max="6" width="3.28515625" style="2" customWidth="1"/>
    <col min="7" max="7" width="7.85546875" style="2" customWidth="1"/>
    <col min="8" max="8" width="0" style="2" hidden="1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102</v>
      </c>
      <c r="C3" s="88"/>
      <c r="D3" s="88"/>
      <c r="E3" s="88"/>
      <c r="F3" s="88"/>
      <c r="G3" s="1"/>
      <c r="H3" s="1"/>
    </row>
    <row r="4" spans="1:8" ht="15" customHeight="1" x14ac:dyDescent="0.25">
      <c r="A4" s="1"/>
      <c r="B4" s="88"/>
      <c r="C4" s="88"/>
      <c r="D4" s="88"/>
      <c r="E4" s="88"/>
      <c r="F4" s="88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60</v>
      </c>
      <c r="C8" s="40"/>
      <c r="D8" s="40"/>
      <c r="E8" s="40"/>
      <c r="F8" s="41"/>
      <c r="G8" s="1"/>
      <c r="H8" s="1"/>
    </row>
    <row r="9" spans="1:8" ht="15" customHeight="1" x14ac:dyDescent="0.25">
      <c r="A9" s="1"/>
      <c r="B9" s="44" t="s">
        <v>111</v>
      </c>
      <c r="C9" s="30"/>
      <c r="D9" s="37"/>
      <c r="E9" s="49" t="s">
        <v>47</v>
      </c>
      <c r="F9" s="18"/>
      <c r="G9" s="1"/>
      <c r="H9" s="1"/>
    </row>
    <row r="10" spans="1:8" x14ac:dyDescent="0.25">
      <c r="A10" s="1"/>
      <c r="B10" s="94" t="s">
        <v>133</v>
      </c>
      <c r="C10" s="95"/>
      <c r="D10" s="96"/>
      <c r="E10" s="11">
        <v>89463</v>
      </c>
      <c r="F10" s="22" t="s">
        <v>2</v>
      </c>
      <c r="G10" s="1"/>
      <c r="H10" s="1"/>
    </row>
    <row r="11" spans="1:8" x14ac:dyDescent="0.25">
      <c r="A11" s="1"/>
      <c r="B11" s="94" t="s">
        <v>134</v>
      </c>
      <c r="C11" s="95"/>
      <c r="D11" s="96"/>
      <c r="E11" s="11">
        <v>41539150</v>
      </c>
      <c r="F11" s="22" t="s">
        <v>2</v>
      </c>
      <c r="G11" s="1"/>
      <c r="H11" s="1"/>
    </row>
    <row r="12" spans="1:8" x14ac:dyDescent="0.25">
      <c r="A12" s="1"/>
      <c r="B12" s="94" t="s">
        <v>135</v>
      </c>
      <c r="C12" s="95"/>
      <c r="D12" s="96"/>
      <c r="E12" s="11">
        <v>40367.919999999998</v>
      </c>
      <c r="F12" s="22" t="s">
        <v>2</v>
      </c>
      <c r="G12" s="1"/>
      <c r="H12" s="1"/>
    </row>
    <row r="13" spans="1:8" x14ac:dyDescent="0.25">
      <c r="A13" s="1"/>
      <c r="B13" s="94" t="s">
        <v>136</v>
      </c>
      <c r="C13" s="95"/>
      <c r="D13" s="96"/>
      <c r="E13" s="11">
        <v>82436</v>
      </c>
      <c r="F13" s="22" t="s">
        <v>2</v>
      </c>
      <c r="G13" s="1"/>
      <c r="H13" s="1"/>
    </row>
    <row r="14" spans="1:8" x14ac:dyDescent="0.25">
      <c r="A14" s="1"/>
      <c r="B14" s="90" t="s">
        <v>128</v>
      </c>
      <c r="C14" s="91"/>
      <c r="D14" s="92"/>
      <c r="E14" s="20">
        <f>SUM(E10:E13)</f>
        <v>41751416.920000002</v>
      </c>
      <c r="F14" s="21" t="s">
        <v>2</v>
      </c>
      <c r="G14" s="1"/>
      <c r="H14" s="1"/>
    </row>
    <row r="15" spans="1:8" x14ac:dyDescent="0.25">
      <c r="A15" s="1"/>
      <c r="B15" s="90" t="s">
        <v>129</v>
      </c>
      <c r="C15" s="91"/>
      <c r="D15" s="92"/>
      <c r="E15" s="20">
        <f>E14*(1+Prisudvikling2019)^2</f>
        <v>43174539.434082516</v>
      </c>
      <c r="F15" s="21" t="s">
        <v>2</v>
      </c>
      <c r="G15" s="1"/>
      <c r="H15" s="1"/>
    </row>
    <row r="16" spans="1:8" x14ac:dyDescent="0.25">
      <c r="A16" s="1"/>
      <c r="B16" s="24"/>
      <c r="C16" s="23"/>
      <c r="D16" s="23"/>
      <c r="E16" s="23"/>
      <c r="F16" s="23"/>
      <c r="G16" s="1"/>
      <c r="H16" s="1"/>
    </row>
    <row r="17" spans="1:8" x14ac:dyDescent="0.25">
      <c r="A17" s="1"/>
      <c r="B17" s="23"/>
      <c r="C17" s="23"/>
      <c r="D17" s="23"/>
      <c r="E17" s="23"/>
      <c r="F17" s="23"/>
      <c r="G17" s="1"/>
      <c r="H17" s="1"/>
    </row>
    <row r="18" spans="1:8" x14ac:dyDescent="0.25">
      <c r="A18" s="1"/>
      <c r="B18" s="1"/>
      <c r="C18" s="1"/>
      <c r="D18" s="1"/>
      <c r="E18" s="23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7">
    <mergeCell ref="B3:F4"/>
    <mergeCell ref="B14:D14"/>
    <mergeCell ref="B15:D15"/>
    <mergeCell ref="B10:D10"/>
    <mergeCell ref="B13:D13"/>
    <mergeCell ref="B12:D12"/>
    <mergeCell ref="B11:D11"/>
  </mergeCells>
  <pageMargins left="0.82291666666666663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I49"/>
  <sheetViews>
    <sheetView showGridLines="0" view="pageLayout" zoomScaleNormal="100" workbookViewId="0"/>
  </sheetViews>
  <sheetFormatPr defaultRowHeight="15" x14ac:dyDescent="0.25"/>
  <cols>
    <col min="1" max="1" width="6.5703125" style="2" customWidth="1"/>
    <col min="2" max="5" width="9.140625" style="2"/>
    <col min="6" max="6" width="23.42578125" style="2" customWidth="1"/>
    <col min="7" max="7" width="10.28515625" style="2" customWidth="1"/>
    <col min="8" max="8" width="3.28515625" style="2" customWidth="1"/>
    <col min="9" max="9" width="6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120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14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64" t="s">
        <v>82</v>
      </c>
      <c r="C9" s="65"/>
      <c r="D9" s="65"/>
      <c r="E9" s="65"/>
      <c r="F9" s="66"/>
      <c r="G9" s="53">
        <v>385256.33636610868</v>
      </c>
      <c r="H9" s="22" t="s">
        <v>2</v>
      </c>
      <c r="I9" s="1"/>
    </row>
    <row r="10" spans="1:9" x14ac:dyDescent="0.25">
      <c r="A10" s="1"/>
      <c r="B10" s="64" t="s">
        <v>83</v>
      </c>
      <c r="C10" s="65"/>
      <c r="D10" s="65"/>
      <c r="E10" s="65"/>
      <c r="F10" s="66"/>
      <c r="G10" s="53">
        <f>G9/GenereltKravDrift2018</f>
        <v>19262816.818305433</v>
      </c>
      <c r="H10" s="22" t="s">
        <v>2</v>
      </c>
      <c r="I10" s="1"/>
    </row>
    <row r="11" spans="1:9" x14ac:dyDescent="0.25">
      <c r="A11" s="1"/>
      <c r="B11" s="64" t="s">
        <v>84</v>
      </c>
      <c r="C11" s="65"/>
      <c r="D11" s="65"/>
      <c r="E11" s="65"/>
      <c r="F11" s="66"/>
      <c r="G11" s="53">
        <v>483413.65308812971</v>
      </c>
      <c r="H11" s="22" t="s">
        <v>2</v>
      </c>
      <c r="I11" s="1"/>
    </row>
    <row r="12" spans="1:9" x14ac:dyDescent="0.25">
      <c r="A12" s="1"/>
      <c r="B12" s="64" t="s">
        <v>85</v>
      </c>
      <c r="C12" s="65"/>
      <c r="D12" s="65"/>
      <c r="E12" s="65"/>
      <c r="F12" s="66"/>
      <c r="G12" s="53">
        <f>G11/GenereltKravAnlæg2018</f>
        <v>27311505.824188117</v>
      </c>
      <c r="H12" s="22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39" t="s">
        <v>67</v>
      </c>
      <c r="C16" s="40"/>
      <c r="D16" s="40"/>
      <c r="E16" s="40"/>
      <c r="F16" s="40"/>
      <c r="G16" s="40"/>
      <c r="H16" s="41"/>
      <c r="I16" s="1"/>
    </row>
    <row r="17" spans="1:9" x14ac:dyDescent="0.25">
      <c r="A17" s="1"/>
      <c r="B17" s="97" t="s">
        <v>87</v>
      </c>
      <c r="C17" s="98"/>
      <c r="D17" s="98"/>
      <c r="E17" s="98"/>
      <c r="F17" s="99"/>
      <c r="G17" s="54">
        <v>0.02</v>
      </c>
      <c r="H17" s="22"/>
      <c r="I17" s="1"/>
    </row>
    <row r="18" spans="1:9" x14ac:dyDescent="0.25">
      <c r="A18" s="1"/>
      <c r="B18" s="97" t="s">
        <v>86</v>
      </c>
      <c r="C18" s="98"/>
      <c r="D18" s="98"/>
      <c r="E18" s="98"/>
      <c r="F18" s="99"/>
      <c r="G18" s="54">
        <v>0.02</v>
      </c>
      <c r="H18" s="22"/>
      <c r="I18" s="1"/>
    </row>
    <row r="19" spans="1:9" x14ac:dyDescent="0.25">
      <c r="A19" s="1"/>
      <c r="B19" s="97" t="s">
        <v>88</v>
      </c>
      <c r="C19" s="98"/>
      <c r="D19" s="98"/>
      <c r="E19" s="98"/>
      <c r="F19" s="99"/>
      <c r="G19" s="54">
        <v>1.77E-2</v>
      </c>
      <c r="H19" s="22"/>
      <c r="I19" s="1"/>
    </row>
    <row r="20" spans="1:9" x14ac:dyDescent="0.25">
      <c r="A20" s="1"/>
      <c r="B20" s="97" t="s">
        <v>132</v>
      </c>
      <c r="C20" s="98"/>
      <c r="D20" s="98"/>
      <c r="E20" s="98"/>
      <c r="F20" s="99"/>
      <c r="G20" s="54">
        <v>8.6999999999999994E-3</v>
      </c>
      <c r="H20" s="22"/>
      <c r="I20" s="1"/>
    </row>
    <row r="21" spans="1:9" x14ac:dyDescent="0.25">
      <c r="A21" s="1"/>
      <c r="B21" s="39"/>
      <c r="C21" s="40"/>
      <c r="D21" s="40"/>
      <c r="E21" s="40"/>
      <c r="F21" s="40"/>
      <c r="G21" s="40"/>
      <c r="H21" s="4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5">
    <mergeCell ref="B3:H4"/>
    <mergeCell ref="B20:F20"/>
    <mergeCell ref="B19:F19"/>
    <mergeCell ref="B18:F18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1.42578125" style="2" bestFit="1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125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23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64" t="s">
        <v>17</v>
      </c>
      <c r="C9" s="65"/>
      <c r="D9" s="65"/>
      <c r="E9" s="65"/>
      <c r="F9" s="66"/>
      <c r="G9" s="11">
        <v>-197024000</v>
      </c>
      <c r="H9" s="22" t="s">
        <v>2</v>
      </c>
      <c r="I9" s="1"/>
    </row>
    <row r="10" spans="1:9" x14ac:dyDescent="0.25">
      <c r="A10" s="1"/>
      <c r="B10" s="64" t="s">
        <v>46</v>
      </c>
      <c r="C10" s="65"/>
      <c r="D10" s="65"/>
      <c r="E10" s="65"/>
      <c r="F10" s="66"/>
      <c r="G10" s="11">
        <v>-177203511.74074075</v>
      </c>
      <c r="H10" s="22" t="s">
        <v>2</v>
      </c>
      <c r="I10" s="1"/>
    </row>
    <row r="11" spans="1:9" x14ac:dyDescent="0.25">
      <c r="A11" s="1"/>
      <c r="B11" s="50" t="s">
        <v>20</v>
      </c>
      <c r="C11" s="51"/>
      <c r="D11" s="51"/>
      <c r="E11" s="51"/>
      <c r="F11" s="52"/>
      <c r="G11" s="31">
        <f>G9-G10</f>
        <v>-19820488.259259254</v>
      </c>
      <c r="H11" s="26" t="s">
        <v>2</v>
      </c>
      <c r="I11" s="1"/>
    </row>
    <row r="12" spans="1:9" x14ac:dyDescent="0.25">
      <c r="A12" s="1"/>
      <c r="B12" s="64" t="s">
        <v>18</v>
      </c>
      <c r="C12" s="65"/>
      <c r="D12" s="65"/>
      <c r="E12" s="65"/>
      <c r="F12" s="66"/>
      <c r="G12" s="11">
        <v>1</v>
      </c>
      <c r="H12" s="22" t="s">
        <v>38</v>
      </c>
      <c r="I12" s="1"/>
    </row>
    <row r="13" spans="1:9" x14ac:dyDescent="0.25">
      <c r="A13" s="1"/>
      <c r="B13" s="39" t="s">
        <v>16</v>
      </c>
      <c r="C13" s="40"/>
      <c r="D13" s="40"/>
      <c r="E13" s="40"/>
      <c r="F13" s="41"/>
      <c r="G13" s="20">
        <f>IF(G12 = 0,0,G11/G12)</f>
        <v>-19820488.259259254</v>
      </c>
      <c r="H13" s="21" t="s">
        <v>2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14</vt:i4>
      </vt:variant>
      <vt:variant>
        <vt:lpstr>Navngivne områder</vt:lpstr>
      </vt:variant>
      <vt:variant>
        <vt:i4>7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Ikke-påvirkelige omk.</vt:lpstr>
      <vt:lpstr>Fane 5. Generelt eff. krav</vt:lpstr>
      <vt:lpstr>Fane 6. Hist. over el. underdæk</vt:lpstr>
      <vt:lpstr>Fane 7. Kontrol af ØR2017</vt:lpstr>
      <vt:lpstr>Fane 8. Anlægsprojekter</vt:lpstr>
      <vt:lpstr>Fane 9. Tillæg</vt:lpstr>
      <vt:lpstr>Fane 10. Bortfald</vt:lpstr>
      <vt:lpstr>Fane 11. Nøgletal</vt:lpstr>
      <vt:lpstr>GenereltKravAnlæg2018</vt:lpstr>
      <vt:lpstr>GenereltKravAnlæg2019</vt:lpstr>
      <vt:lpstr>GenereltKravDrift2018</vt:lpstr>
      <vt:lpstr>GenereltKravDrift2019</vt:lpstr>
      <vt:lpstr>IndividueltKrav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2018-10-10T07:33:22Z</dcterms:modified>
</cp:coreProperties>
</file>