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G12" i="11" l="1"/>
  <c r="E12" i="11"/>
  <c r="E11" i="11"/>
  <c r="C21" i="22" l="1"/>
  <c r="C21" i="15"/>
  <c r="E25" i="23" l="1"/>
  <c r="E28" i="22"/>
  <c r="E32" i="15"/>
  <c r="E39" i="2"/>
  <c r="E30" i="15" l="1"/>
  <c r="E37" i="2"/>
  <c r="E12" i="34" l="1"/>
  <c r="E18" i="34" l="1"/>
  <c r="E20" i="34" s="1"/>
  <c r="G21" i="34" s="1"/>
  <c r="G22" i="34" s="1"/>
  <c r="C23" i="23" s="1"/>
  <c r="E23" i="23" s="1"/>
  <c r="C16" i="23" l="1"/>
  <c r="C23" i="2"/>
  <c r="G12" i="34" l="1"/>
  <c r="G10" i="30" l="1"/>
  <c r="C16" i="2" s="1"/>
  <c r="C14" i="15" s="1"/>
  <c r="C14" i="22" s="1"/>
  <c r="G12" i="30"/>
  <c r="C17" i="2" s="1"/>
  <c r="C15" i="15" s="1"/>
  <c r="C15" i="22" s="1"/>
  <c r="E10" i="11" l="1"/>
  <c r="F12" i="11"/>
  <c r="D10" i="20" s="1"/>
  <c r="C33" i="2" l="1"/>
  <c r="C17" i="23" l="1"/>
  <c r="E17" i="23" s="1"/>
  <c r="C22" i="22" l="1"/>
  <c r="E22" i="22" s="1"/>
  <c r="C22" i="15"/>
  <c r="E22" i="15" s="1"/>
  <c r="C24" i="2"/>
  <c r="E24" i="2" s="1"/>
  <c r="G13" i="27"/>
  <c r="D11" i="20" l="1"/>
  <c r="F11" i="21"/>
  <c r="F12" i="21" s="1"/>
  <c r="C13" i="2" s="1"/>
  <c r="D11" i="21"/>
  <c r="D12" i="21" s="1"/>
  <c r="C12" i="2" s="1"/>
  <c r="C9" i="2"/>
  <c r="E16" i="19"/>
  <c r="E17" i="19" s="1"/>
  <c r="C26" i="2" l="1"/>
  <c r="C28" i="2" s="1"/>
  <c r="E28" i="2" s="1"/>
  <c r="C24" i="22"/>
  <c r="C26" i="22" s="1"/>
  <c r="E26" i="22" s="1"/>
  <c r="C19" i="23"/>
  <c r="C24" i="15"/>
  <c r="C26" i="15" l="1"/>
  <c r="E26" i="15" s="1"/>
  <c r="C21" i="23"/>
  <c r="E21" i="23" s="1"/>
  <c r="G11" i="10"/>
  <c r="E33" i="2" l="1"/>
  <c r="G13" i="10"/>
  <c r="C28" i="15" s="1"/>
  <c r="E28" i="15" l="1"/>
  <c r="D12" i="20"/>
  <c r="C10" i="2" s="1"/>
  <c r="C10" i="15" l="1"/>
  <c r="C10" i="22" s="1"/>
  <c r="C18" i="2"/>
  <c r="C16" i="15" s="1"/>
  <c r="C16" i="22" s="1"/>
  <c r="C11" i="23" s="1"/>
  <c r="F10" i="20" l="1"/>
  <c r="F11" i="20" s="1"/>
  <c r="F12" i="20" s="1"/>
  <c r="C11" i="2" s="1"/>
  <c r="C35" i="2"/>
  <c r="E35" i="2" s="1"/>
  <c r="C19" i="2" l="1"/>
  <c r="C17" i="15" s="1"/>
  <c r="C17" i="22" s="1"/>
  <c r="C12" i="23" s="1"/>
  <c r="C11" i="15"/>
  <c r="C11" i="22" s="1"/>
  <c r="C14" i="2"/>
  <c r="C15" i="2" l="1"/>
  <c r="C20" i="2" s="1"/>
  <c r="E20" i="2" s="1"/>
  <c r="E40" i="2" s="1"/>
  <c r="C9" i="15" l="1"/>
  <c r="C12" i="15" l="1"/>
  <c r="C13" i="15" s="1"/>
  <c r="C18" i="15" l="1"/>
  <c r="E18" i="15" s="1"/>
  <c r="E33" i="15" s="1"/>
  <c r="C9" i="22" l="1"/>
  <c r="C12" i="22" s="1"/>
  <c r="C13" i="22" l="1"/>
  <c r="C18" i="22" s="1"/>
  <c r="E18" i="22" s="1"/>
  <c r="E29" i="22" s="1"/>
  <c r="C8" i="23" l="1"/>
  <c r="C9" i="23" l="1"/>
  <c r="C10" i="23" s="1"/>
  <c r="C13" i="23" l="1"/>
  <c r="E13" i="23" s="1"/>
  <c r="E26" i="23" s="1"/>
</calcChain>
</file>

<file path=xl/sharedStrings.xml><?xml version="1.0" encoding="utf-8"?>
<sst xmlns="http://schemas.openxmlformats.org/spreadsheetml/2006/main" count="366" uniqueCount="155">
  <si>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</si>
  <si>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</si>
  <si>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</si>
  <si>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</si>
  <si>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</si>
  <si>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</si>
  <si>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</si>
  <si>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</si>
  <si>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</si>
  <si>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</si>
  <si>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</si>
  <si>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</si>
  <si>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</si>
  <si>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</si>
  <si>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</si>
  <si>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</si>
  <si>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</si>
  <si>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</si>
  <si>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</si>
  <si>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</si>
  <si>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</si>
  <si>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</si>
  <si>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</si>
  <si>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</si>
  <si>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</si>
  <si>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</si>
  <si>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</si>
  <si>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</si>
  <si>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</si>
  <si>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</si>
  <si>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</si>
  <si>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</si>
  <si>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</si>
  <si>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</si>
  <si>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</si>
  <si>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</si>
  <si>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</si>
  <si>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</si>
  <si>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</si>
  <si>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</si>
  <si>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</si>
  <si>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</si>
  <si>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</si>
  <si>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</si>
  <si>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</si>
  <si>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</si>
  <si>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</si>
  <si>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</si>
  <si>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</si>
  <si>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</si>
  <si>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</si>
  <si>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</si>
  <si>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</si>
  <si>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</si>
  <si>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</si>
  <si>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</si>
  <si>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</si>
  <si>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</si>
  <si>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</si>
  <si>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</si>
  <si>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</si>
  <si>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</si>
  <si>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</si>
  <si>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</si>
  <si>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</si>
  <si>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</si>
  <si>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</si>
  <si>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</si>
  <si>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</si>
  <si>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</si>
  <si>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</si>
  <si>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</si>
  <si>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</si>
  <si>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</si>
  <si>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</si>
  <si>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</si>
  <si>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</si>
  <si>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</si>
  <si>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</si>
  <si>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</si>
  <si>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</si>
  <si>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</si>
  <si>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</si>
  <si>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</si>
  <si>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</si>
  <si>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</si>
  <si>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</si>
  <si>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</si>
  <si>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</si>
  <si>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</si>
  <si>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</si>
  <si>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</si>
  <si>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</si>
  <si>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</si>
  <si>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</si>
  <si>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</si>
  <si>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</si>
  <si>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</si>
  <si>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</si>
  <si>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</si>
  <si>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</si>
  <si>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</si>
  <si>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</si>
  <si>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</si>
  <si>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</si>
  <si>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</si>
  <si>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</si>
  <si>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</si>
  <si>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</si>
  <si>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</si>
  <si>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</si>
  <si>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</si>
  <si>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Kontrol med overholdelse af den økonomiske ramme for 2017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</si>
  <si>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</si>
  <si>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</si>
  <si>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</si>
  <si>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</si>
  <si>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</si>
  <si>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</si>
  <si>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</si>
  <si>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</si>
  <si>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</si>
  <si>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</si>
  <si>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</si>
  <si>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</si>
  <si>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</si>
  <si>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</si>
  <si>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</si>
  <si>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Generelt effektiviseringskrav på videreførte omkostninger - Drift</t>
  </si>
  <si>
    <t>Generelt effektiviseringskrav på videreførte omkostninger - Anlæg</t>
  </si>
  <si>
    <t>Generelt effektiviseringskrav på nye omkostninger - Drift</t>
  </si>
  <si>
    <t>Generelt effektiviseringskrav på nye omkostninger - Anlæg</t>
  </si>
  <si>
    <t xml:space="preserve"> -Heraf nye omkostninger i ØR19 - Drift</t>
  </si>
  <si>
    <t xml:space="preserve"> -Heraf nye omkostninger i ØR19 - Anlæg</t>
  </si>
  <si>
    <t>Generelt effektiviseringskrav anvendt til drift i ØR18-ØR21</t>
  </si>
  <si>
    <t>Generelt effektiviseringskrav anvendt til anlæg i ØR18-ØR21</t>
  </si>
  <si>
    <t>Til indregning i de økonomiske rammer for 2022-2025</t>
  </si>
  <si>
    <t>Fradrag i den økonomiske ramme for 2022-2025 i alt (2017-prisniveau)</t>
  </si>
  <si>
    <t>Fradrag i den økonomiske ramme for 2022-2025 i alt (2022-prisniveau)</t>
  </si>
  <si>
    <t>Driftsunderskud</t>
  </si>
  <si>
    <t>Fradrag for tidligere tillæg til driftsunderskud</t>
  </si>
  <si>
    <t>Periodevise driftsomkostninger under prisloftsbekendtgørelsen</t>
  </si>
  <si>
    <t>Ingen bortfald eller nedsættelse</t>
  </si>
  <si>
    <t>Afgift til Forsyningsekretariatet</t>
  </si>
  <si>
    <t xml:space="preserve">Køb af ydelser og produkter fra andre vandselskaber reguleret af vandsektorloven  
</t>
  </si>
  <si>
    <t>Skatter og afgifter</t>
  </si>
  <si>
    <t>Force majeure</t>
  </si>
  <si>
    <t>Undersøgelsesudgifter i forbindelse med fusion</t>
  </si>
  <si>
    <t>Rådnetanke, slam, Konstruktioner</t>
  </si>
  <si>
    <t>60</t>
  </si>
  <si>
    <t>Supplerende investeringstillæg</t>
  </si>
  <si>
    <t>Fane 10: Bortfald eller nedsættelse af omkostninger til mål, medfinansiering eller udvidelse</t>
  </si>
  <si>
    <t>Fane 11: Nøgletal</t>
  </si>
  <si>
    <t>Pumpeinstallation Miljøklasse B (100-300 l/s) - SRO</t>
  </si>
  <si>
    <t xml:space="preserve">Spildevandsafgifter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</si>
</sst>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Alignment="1" applyProtection="1">
      <alignment horizontal="right"/>
    </xf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 vertical="center" wrapText="1"/>
    </xf>
    <xf numFmtId="0" fontId="8" fillId="9" borderId="10" xfId="0" applyFont="1" applyFill="1" applyBorder="1" applyAlignment="1" applyProtection="1">
      <alignment horizontal="left" vertical="center" wrapText="1"/>
    </xf>
    <xf numFmtId="0" fontId="8" fillId="9" borderId="3" xfId="0" applyFont="1" applyFill="1" applyBorder="1" applyAlignment="1" applyProtection="1">
      <alignment horizontal="left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4" t="s">
        <v>3</v>
      </c>
      <c r="E6" s="84"/>
      <c r="F6" s="84"/>
      <c r="G6" s="84"/>
      <c r="H6" s="3"/>
      <c r="I6" s="1"/>
    </row>
    <row r="7" spans="1:9" ht="15" customHeight="1" x14ac:dyDescent="0.25">
      <c r="A7" s="1"/>
      <c r="B7" s="1"/>
      <c r="C7" s="3"/>
      <c r="D7" s="84"/>
      <c r="E7" s="84"/>
      <c r="F7" s="84"/>
      <c r="G7" s="84"/>
      <c r="H7" s="3"/>
      <c r="I7" s="1"/>
    </row>
    <row r="8" spans="1:9" ht="15.75" x14ac:dyDescent="0.25">
      <c r="A8" s="1"/>
      <c r="B8" s="1"/>
      <c r="C8" s="4"/>
      <c r="D8" s="86" t="s">
        <v>118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4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81" t="s">
        <v>31</v>
      </c>
      <c r="E13" s="82"/>
      <c r="F13" s="82"/>
      <c r="G13" s="83"/>
      <c r="H13" s="1"/>
      <c r="I13" s="1"/>
    </row>
    <row r="14" spans="1:9" x14ac:dyDescent="0.25">
      <c r="A14" s="1"/>
      <c r="B14" s="1"/>
      <c r="C14" s="6" t="s">
        <v>30</v>
      </c>
      <c r="D14" s="81" t="s">
        <v>93</v>
      </c>
      <c r="E14" s="82"/>
      <c r="F14" s="82"/>
      <c r="G14" s="83"/>
      <c r="H14" s="1"/>
      <c r="I14" s="1"/>
    </row>
    <row r="15" spans="1:9" x14ac:dyDescent="0.25">
      <c r="A15" s="1"/>
      <c r="B15" s="1"/>
      <c r="C15" s="6" t="s">
        <v>92</v>
      </c>
      <c r="D15" s="81" t="s">
        <v>95</v>
      </c>
      <c r="E15" s="82"/>
      <c r="F15" s="82"/>
      <c r="G15" s="83"/>
      <c r="H15" s="1"/>
      <c r="I15" s="1"/>
    </row>
    <row r="16" spans="1:9" x14ac:dyDescent="0.25">
      <c r="A16" s="1"/>
      <c r="B16" s="1"/>
      <c r="C16" s="6" t="s">
        <v>94</v>
      </c>
      <c r="D16" s="81" t="s">
        <v>119</v>
      </c>
      <c r="E16" s="82"/>
      <c r="F16" s="82"/>
      <c r="G16" s="83"/>
      <c r="H16" s="1"/>
      <c r="I16" s="1"/>
    </row>
    <row r="17" spans="1:9" x14ac:dyDescent="0.25">
      <c r="A17" s="1"/>
      <c r="B17" s="1"/>
      <c r="C17" s="6" t="s">
        <v>6</v>
      </c>
      <c r="D17" s="87" t="s">
        <v>96</v>
      </c>
      <c r="E17" s="88"/>
      <c r="F17" s="88"/>
      <c r="G17" s="89"/>
      <c r="H17" s="1"/>
      <c r="I17" s="1"/>
    </row>
    <row r="18" spans="1:9" x14ac:dyDescent="0.25">
      <c r="A18" s="1"/>
      <c r="B18" s="1"/>
      <c r="C18" s="6" t="s">
        <v>7</v>
      </c>
      <c r="D18" s="87" t="s">
        <v>97</v>
      </c>
      <c r="E18" s="88"/>
      <c r="F18" s="88"/>
      <c r="G18" s="89"/>
      <c r="H18" s="1"/>
      <c r="I18" s="1"/>
    </row>
    <row r="19" spans="1:9" x14ac:dyDescent="0.25">
      <c r="A19" s="1"/>
      <c r="B19" s="1"/>
      <c r="C19" s="6" t="s">
        <v>8</v>
      </c>
      <c r="D19" s="72" t="s">
        <v>101</v>
      </c>
      <c r="E19" s="73"/>
      <c r="F19" s="73"/>
      <c r="G19" s="74"/>
      <c r="H19" s="1"/>
      <c r="I19" s="1"/>
    </row>
    <row r="20" spans="1:9" x14ac:dyDescent="0.25">
      <c r="A20" s="1"/>
      <c r="B20" s="1"/>
      <c r="C20" s="6" t="s">
        <v>9</v>
      </c>
      <c r="D20" s="75" t="s">
        <v>98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10</v>
      </c>
      <c r="D21" s="75" t="s">
        <v>117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11</v>
      </c>
      <c r="D22" s="75" t="s">
        <v>102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12</v>
      </c>
      <c r="D23" s="78" t="s">
        <v>28</v>
      </c>
      <c r="E23" s="79"/>
      <c r="F23" s="79"/>
      <c r="G23" s="80"/>
      <c r="H23" s="1"/>
      <c r="I23" s="1"/>
    </row>
    <row r="24" spans="1:9" x14ac:dyDescent="0.25">
      <c r="A24" s="1"/>
      <c r="B24" s="1"/>
      <c r="C24" s="6" t="s">
        <v>26</v>
      </c>
      <c r="D24" s="69" t="s">
        <v>99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9" t="s">
        <v>54</v>
      </c>
      <c r="E25" s="70"/>
      <c r="F25" s="70"/>
      <c r="G25" s="7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121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112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9" t="s">
        <v>103</v>
      </c>
      <c r="C9" s="100"/>
      <c r="D9" s="101"/>
      <c r="E9" s="11">
        <v>18148140.612273399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104</v>
      </c>
      <c r="C10" s="100"/>
      <c r="D10" s="101"/>
      <c r="E10" s="11">
        <v>16542525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110</v>
      </c>
      <c r="C11" s="100"/>
      <c r="D11" s="101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105</v>
      </c>
      <c r="C12" s="48"/>
      <c r="D12" s="49"/>
      <c r="E12" s="17">
        <f>E9-(E10-E11)</f>
        <v>1605615.6122733988</v>
      </c>
      <c r="F12" s="25" t="s">
        <v>2</v>
      </c>
      <c r="G12" s="17">
        <f>E12</f>
        <v>1605615.6122733988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136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102" t="s">
        <v>113</v>
      </c>
      <c r="C18" s="103"/>
      <c r="D18" s="104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111</v>
      </c>
      <c r="C19" s="103"/>
      <c r="D19" s="104"/>
      <c r="E19" s="11">
        <v>4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114</v>
      </c>
      <c r="C20" s="103"/>
      <c r="D20" s="104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2" t="s">
        <v>137</v>
      </c>
      <c r="C21" s="93"/>
      <c r="D21" s="93"/>
      <c r="E21" s="93"/>
      <c r="F21" s="94"/>
      <c r="G21" s="20">
        <f>E20</f>
        <v>0</v>
      </c>
      <c r="H21" s="21" t="s">
        <v>2</v>
      </c>
      <c r="I21" s="1"/>
    </row>
    <row r="22" spans="1:9" x14ac:dyDescent="0.25">
      <c r="A22" s="1"/>
      <c r="B22" s="92" t="s">
        <v>138</v>
      </c>
      <c r="C22" s="93"/>
      <c r="D22" s="93"/>
      <c r="E22" s="93"/>
      <c r="F22" s="94"/>
      <c r="G22" s="20">
        <f>G21*(1+Prisudvikling2019)^5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122</v>
      </c>
      <c r="C8" s="93"/>
      <c r="D8" s="93"/>
      <c r="E8" s="93"/>
      <c r="F8" s="93"/>
      <c r="G8" s="93"/>
      <c r="H8" s="94"/>
      <c r="I8" s="1"/>
    </row>
    <row r="9" spans="1:9" ht="39" customHeight="1" x14ac:dyDescent="0.25">
      <c r="A9" s="1"/>
      <c r="B9" s="38" t="s">
        <v>87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88</v>
      </c>
      <c r="H9" s="37"/>
      <c r="I9" s="1"/>
    </row>
    <row r="10" spans="1:9" ht="26.25" x14ac:dyDescent="0.25">
      <c r="A10" s="1"/>
      <c r="B10" s="63" t="s">
        <v>148</v>
      </c>
      <c r="C10" s="64" t="s">
        <v>149</v>
      </c>
      <c r="D10" s="11">
        <v>1562237</v>
      </c>
      <c r="E10" s="11">
        <f>D10/C10</f>
        <v>26037.283333333333</v>
      </c>
      <c r="F10" s="11">
        <v>0</v>
      </c>
      <c r="G10" s="11">
        <v>31245</v>
      </c>
      <c r="H10" s="22" t="s">
        <v>2</v>
      </c>
      <c r="I10" s="1"/>
    </row>
    <row r="11" spans="1:9" ht="26.25" x14ac:dyDescent="0.25">
      <c r="A11" s="1"/>
      <c r="B11" s="63" t="s">
        <v>153</v>
      </c>
      <c r="C11" s="64">
        <v>10</v>
      </c>
      <c r="D11" s="11">
        <v>59318</v>
      </c>
      <c r="E11" s="11">
        <f>D11/C11</f>
        <v>5931.8</v>
      </c>
      <c r="F11" s="11">
        <v>0</v>
      </c>
      <c r="G11" s="11">
        <v>1186</v>
      </c>
      <c r="H11" s="22" t="s">
        <v>2</v>
      </c>
      <c r="I11" s="1"/>
    </row>
    <row r="12" spans="1:9" x14ac:dyDescent="0.25">
      <c r="A12" s="1"/>
      <c r="B12" s="92" t="s">
        <v>126</v>
      </c>
      <c r="C12" s="93"/>
      <c r="D12" s="94"/>
      <c r="E12" s="20">
        <f>SUM(E10:E11)</f>
        <v>31969.083333333332</v>
      </c>
      <c r="F12" s="20">
        <f>SUM(F10:F10)</f>
        <v>0</v>
      </c>
      <c r="G12" s="20">
        <f>SUM(G10:G11)</f>
        <v>32431</v>
      </c>
      <c r="H12" s="21" t="s">
        <v>2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3">
    <mergeCell ref="B3:H4"/>
    <mergeCell ref="B8:H8"/>
    <mergeCell ref="B12:D12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116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122</v>
      </c>
      <c r="C10" s="59"/>
      <c r="D10" s="60">
        <f>'Fane 8. Anlægsprojekter'!F12</f>
        <v>0</v>
      </c>
      <c r="E10" s="22" t="s">
        <v>2</v>
      </c>
      <c r="F10" s="11">
        <f>SUM('Fane 8. Anlægsprojekter'!E12,'Fane 8. Anlægsprojekter'!G12)</f>
        <v>64400.083333333328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64400.083333333328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65488.444741666659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151</v>
      </c>
      <c r="C3" s="95"/>
      <c r="D3" s="95"/>
      <c r="E3" s="95"/>
      <c r="F3" s="95"/>
      <c r="G3" s="95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142</v>
      </c>
      <c r="C10" s="65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152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107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0" t="s">
        <v>41</v>
      </c>
      <c r="C3" s="90"/>
      <c r="D3" s="90"/>
      <c r="E3" s="90"/>
      <c r="F3" s="90"/>
      <c r="G3" s="1"/>
      <c r="I3" s="36"/>
    </row>
    <row r="4" spans="1:9" ht="15" customHeight="1" x14ac:dyDescent="0.25">
      <c r="A4" s="1"/>
      <c r="B4" s="90"/>
      <c r="C4" s="90"/>
      <c r="D4" s="90"/>
      <c r="E4" s="90"/>
      <c r="F4" s="90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13935426.286324451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65488.444741666659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244976.71472681209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50" t="s">
        <v>128</v>
      </c>
      <c r="C16" s="11">
        <f>-(('Fane 5. Generelt eff. krav'!G10-'Fane 5. Generelt eff. krav'!G9-'Fane 3. Omkostninger i ØR2018'!G12)*(1+Prisudvikling2018)*GenereltKravDrift2018)</f>
        <v>-188025.9271433375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129</v>
      </c>
      <c r="C17" s="11">
        <f>-(('Fane 5. Generelt eff. krav'!G12-'Fane 5. Generelt eff. krav'!G11)*(1+Prisudvikling2018)*GenereltKravAnlæg2018)</f>
        <v>-84478.366880280388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50" t="s">
        <v>130</v>
      </c>
      <c r="C18" s="11">
        <f>-(SUM(C10,C12)*(1+Prisudvikling2019)*GenereltKravDrift2019)</f>
        <v>0</v>
      </c>
      <c r="D18" s="8" t="s">
        <v>2</v>
      </c>
      <c r="E18" s="12"/>
      <c r="F18" s="13"/>
      <c r="G18" s="1"/>
    </row>
    <row r="19" spans="1:7" ht="15" customHeight="1" x14ac:dyDescent="0.25">
      <c r="A19" s="1"/>
      <c r="B19" s="50" t="s">
        <v>131</v>
      </c>
      <c r="C19" s="11">
        <f>-(SUM(C11,C13)*(1+Prisudvikling2019)*GenereltKravAnlæg2019)</f>
        <v>-579.37823528286708</v>
      </c>
      <c r="D19" s="8" t="s">
        <v>2</v>
      </c>
      <c r="E19" s="15"/>
      <c r="F19" s="16"/>
      <c r="G19" s="1"/>
    </row>
    <row r="20" spans="1:7" ht="15" customHeight="1" x14ac:dyDescent="0.25">
      <c r="A20" s="1"/>
      <c r="B20" s="47" t="s">
        <v>40</v>
      </c>
      <c r="C20" s="17">
        <f>SUM(C9:C19)</f>
        <v>13972807.773534028</v>
      </c>
      <c r="D20" s="18" t="s">
        <v>2</v>
      </c>
      <c r="E20" s="17">
        <f>C20</f>
        <v>13972807.773534028</v>
      </c>
      <c r="F20" s="18" t="s">
        <v>2</v>
      </c>
      <c r="G20" s="1"/>
    </row>
    <row r="21" spans="1:7" ht="15" customHeight="1" x14ac:dyDescent="0.25">
      <c r="A21" s="1"/>
      <c r="B21" s="39" t="s">
        <v>74</v>
      </c>
      <c r="C21" s="40"/>
      <c r="D21" s="40"/>
      <c r="E21" s="40"/>
      <c r="F21" s="41"/>
      <c r="G21" s="1"/>
    </row>
    <row r="22" spans="1:7" ht="15" customHeight="1" x14ac:dyDescent="0.25">
      <c r="A22" s="1"/>
      <c r="B22" s="46" t="s">
        <v>141</v>
      </c>
      <c r="C22" s="12">
        <v>78162.315000000002</v>
      </c>
      <c r="D22" s="8" t="s">
        <v>2</v>
      </c>
      <c r="E22" s="12"/>
      <c r="F22" s="13"/>
      <c r="G22" s="1"/>
    </row>
    <row r="23" spans="1:7" ht="15" customHeight="1" x14ac:dyDescent="0.25">
      <c r="A23" s="1"/>
      <c r="B23" s="46" t="s">
        <v>76</v>
      </c>
      <c r="C23" s="11">
        <f>-(C22*(GenereltKravDrift2018+IndividueltKrav))</f>
        <v>-1563.2463</v>
      </c>
      <c r="D23" s="8" t="s">
        <v>2</v>
      </c>
      <c r="E23" s="12"/>
      <c r="F23" s="13"/>
      <c r="G23" s="1"/>
    </row>
    <row r="24" spans="1:7" ht="15" customHeight="1" x14ac:dyDescent="0.25">
      <c r="A24" s="1"/>
      <c r="B24" s="29" t="s">
        <v>77</v>
      </c>
      <c r="C24" s="17">
        <f>SUM(C22:C23)</f>
        <v>76599.068700000003</v>
      </c>
      <c r="D24" s="18" t="s">
        <v>2</v>
      </c>
      <c r="E24" s="17">
        <f>C24</f>
        <v>76599.068700000003</v>
      </c>
      <c r="F24" s="18" t="s">
        <v>2</v>
      </c>
      <c r="G24" s="1"/>
    </row>
    <row r="25" spans="1:7" ht="15" customHeight="1" x14ac:dyDescent="0.25">
      <c r="A25" s="1"/>
      <c r="B25" s="39" t="s">
        <v>22</v>
      </c>
      <c r="C25" s="40"/>
      <c r="D25" s="40"/>
      <c r="E25" s="40"/>
      <c r="F25" s="41"/>
      <c r="G25" s="1"/>
    </row>
    <row r="26" spans="1:7" ht="15" customHeight="1" x14ac:dyDescent="0.25">
      <c r="A26" s="1"/>
      <c r="B26" s="46" t="s">
        <v>22</v>
      </c>
      <c r="C26" s="11">
        <f>'Fane 4. Ikke-påvirkelige omk.'!E17</f>
        <v>3923290.8158573089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46" t="s">
        <v>79</v>
      </c>
      <c r="C27" s="11">
        <v>0</v>
      </c>
      <c r="D27" s="8" t="s">
        <v>2</v>
      </c>
      <c r="E27" s="12"/>
      <c r="F27" s="13"/>
      <c r="G27" s="1"/>
    </row>
    <row r="28" spans="1:7" ht="15" customHeight="1" x14ac:dyDescent="0.25">
      <c r="A28" s="1"/>
      <c r="B28" s="29" t="s">
        <v>80</v>
      </c>
      <c r="C28" s="17">
        <f>SUM(C26:C27)</f>
        <v>3923290.8158573089</v>
      </c>
      <c r="D28" s="18" t="s">
        <v>2</v>
      </c>
      <c r="E28" s="17">
        <f>C28</f>
        <v>3923290.8158573089</v>
      </c>
      <c r="F28" s="18" t="s">
        <v>2</v>
      </c>
      <c r="G28" s="1"/>
    </row>
    <row r="29" spans="1:7" ht="15" customHeight="1" x14ac:dyDescent="0.25">
      <c r="A29" s="1"/>
      <c r="B29" s="39" t="s">
        <v>50</v>
      </c>
      <c r="C29" s="40"/>
      <c r="D29" s="40"/>
      <c r="E29" s="40"/>
      <c r="F29" s="41"/>
      <c r="G29" s="1"/>
    </row>
    <row r="30" spans="1:7" ht="15" customHeight="1" x14ac:dyDescent="0.25">
      <c r="A30" s="1"/>
      <c r="B30" s="45" t="s">
        <v>81</v>
      </c>
      <c r="C30" s="7">
        <v>0</v>
      </c>
      <c r="D30" s="8" t="s">
        <v>2</v>
      </c>
      <c r="E30" s="33"/>
      <c r="F30" s="13"/>
      <c r="G30" s="1"/>
    </row>
    <row r="31" spans="1:7" ht="15" customHeight="1" x14ac:dyDescent="0.25">
      <c r="A31" s="1"/>
      <c r="B31" s="45" t="s">
        <v>51</v>
      </c>
      <c r="C31" s="7">
        <v>0</v>
      </c>
      <c r="D31" s="8" t="s">
        <v>2</v>
      </c>
      <c r="E31" s="32"/>
      <c r="F31" s="13"/>
      <c r="G31" s="1"/>
    </row>
    <row r="32" spans="1:7" ht="28.5" customHeight="1" x14ac:dyDescent="0.25">
      <c r="A32" s="1"/>
      <c r="B32" s="46" t="s">
        <v>52</v>
      </c>
      <c r="C32" s="7">
        <v>17385.807436450559</v>
      </c>
      <c r="D32" s="8" t="s">
        <v>2</v>
      </c>
      <c r="E32" s="32"/>
      <c r="F32" s="13"/>
      <c r="G32" s="1"/>
    </row>
    <row r="33" spans="1:7" ht="15" customHeight="1" x14ac:dyDescent="0.25">
      <c r="A33" s="1"/>
      <c r="B33" s="47" t="s">
        <v>53</v>
      </c>
      <c r="C33" s="17">
        <f>SUM(C30:C32)</f>
        <v>17385.807436450559</v>
      </c>
      <c r="D33" s="18" t="s">
        <v>2</v>
      </c>
      <c r="E33" s="17">
        <f>C33</f>
        <v>17385.807436450559</v>
      </c>
      <c r="F33" s="18" t="s">
        <v>2</v>
      </c>
      <c r="G33" s="1"/>
    </row>
    <row r="34" spans="1:7" x14ac:dyDescent="0.25">
      <c r="A34" s="1"/>
      <c r="B34" s="39" t="s">
        <v>15</v>
      </c>
      <c r="C34" s="40"/>
      <c r="D34" s="40"/>
      <c r="E34" s="40"/>
      <c r="F34" s="41"/>
      <c r="G34" s="1"/>
    </row>
    <row r="35" spans="1:7" ht="15" customHeight="1" x14ac:dyDescent="0.25">
      <c r="A35" s="1"/>
      <c r="B35" s="47" t="s">
        <v>24</v>
      </c>
      <c r="C35" s="17">
        <f>'Fane 6. Hist. over el. underdæk'!G13</f>
        <v>-310846</v>
      </c>
      <c r="D35" s="18" t="s">
        <v>2</v>
      </c>
      <c r="E35" s="17">
        <f>C35</f>
        <v>-310846</v>
      </c>
      <c r="F35" s="18" t="s">
        <v>2</v>
      </c>
      <c r="G35" s="1"/>
    </row>
    <row r="36" spans="1:7" ht="15" customHeight="1" x14ac:dyDescent="0.25">
      <c r="A36" s="1"/>
      <c r="B36" s="39" t="s">
        <v>139</v>
      </c>
      <c r="C36" s="40"/>
      <c r="D36" s="40"/>
      <c r="E36" s="40"/>
      <c r="F36" s="41"/>
      <c r="G36" s="1"/>
    </row>
    <row r="37" spans="1:7" ht="15" customHeight="1" x14ac:dyDescent="0.25">
      <c r="A37" s="1"/>
      <c r="B37" s="47" t="s">
        <v>140</v>
      </c>
      <c r="C37" s="17">
        <v>-1000000</v>
      </c>
      <c r="D37" s="18" t="s">
        <v>2</v>
      </c>
      <c r="E37" s="17">
        <f>C37</f>
        <v>-1000000</v>
      </c>
      <c r="F37" s="18" t="s">
        <v>2</v>
      </c>
      <c r="G37" s="1"/>
    </row>
    <row r="38" spans="1:7" ht="15" customHeight="1" x14ac:dyDescent="0.25">
      <c r="A38" s="1"/>
      <c r="B38" s="39" t="s">
        <v>150</v>
      </c>
      <c r="C38" s="40"/>
      <c r="D38" s="40"/>
      <c r="E38" s="40"/>
      <c r="F38" s="41"/>
      <c r="G38" s="1"/>
    </row>
    <row r="39" spans="1:7" ht="15" customHeight="1" x14ac:dyDescent="0.25">
      <c r="A39" s="1"/>
      <c r="B39" s="47" t="s">
        <v>150</v>
      </c>
      <c r="C39" s="17">
        <v>587000</v>
      </c>
      <c r="D39" s="18" t="s">
        <v>2</v>
      </c>
      <c r="E39" s="17">
        <f>C39</f>
        <v>587000</v>
      </c>
      <c r="F39" s="18" t="s">
        <v>2</v>
      </c>
      <c r="G39" s="1"/>
    </row>
    <row r="40" spans="1:7" x14ac:dyDescent="0.25">
      <c r="A40" s="1"/>
      <c r="B40" s="39" t="s">
        <v>33</v>
      </c>
      <c r="C40" s="40"/>
      <c r="D40" s="41"/>
      <c r="E40" s="20">
        <f>SUM(E20,E24,E28,E33,E35,E37,E39)</f>
        <v>17266237.465527788</v>
      </c>
      <c r="F40" s="21" t="s">
        <v>2</v>
      </c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4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/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25</v>
      </c>
      <c r="C8" s="93"/>
      <c r="D8" s="93"/>
      <c r="E8" s="93"/>
      <c r="F8" s="94"/>
      <c r="G8" s="1"/>
    </row>
    <row r="9" spans="1:7" ht="15" customHeight="1" x14ac:dyDescent="0.25">
      <c r="A9" s="1"/>
      <c r="B9" s="45" t="s">
        <v>55</v>
      </c>
      <c r="C9" s="7">
        <f>'Fane 2.1. Økonomisk ramme 2019'!E20</f>
        <v>13972807.773534028</v>
      </c>
      <c r="D9" s="8" t="s">
        <v>2</v>
      </c>
      <c r="E9" s="9"/>
      <c r="F9" s="10"/>
      <c r="G9" s="1"/>
    </row>
    <row r="10" spans="1:7" ht="15" customHeight="1" x14ac:dyDescent="0.25">
      <c r="A10" s="1"/>
      <c r="B10" s="50" t="s">
        <v>132</v>
      </c>
      <c r="C10" s="7">
        <f>SUM('Fane 2.1. Økonomisk ramme 2019'!C10,'Fane 2.1. Økonomisk ramme 2019'!C12)*(1+Prisudvikling2019)*(1-IndividueltKrav-GenereltKravDrift2019)</f>
        <v>0</v>
      </c>
      <c r="D10" s="8" t="s">
        <v>2</v>
      </c>
      <c r="E10" s="32"/>
      <c r="F10" s="13"/>
      <c r="G10" s="1"/>
    </row>
    <row r="11" spans="1:7" ht="15" customHeight="1" x14ac:dyDescent="0.25">
      <c r="A11" s="1"/>
      <c r="B11" s="50" t="s">
        <v>133</v>
      </c>
      <c r="C11" s="7">
        <f>SUM('Fane 2.1. Økonomisk ramme 2019'!C11,'Fane 2.1. Økonomisk ramme 2019'!C13)*(1+Prisudvikling2019)*(1-IndividueltKrav-GenereltKravAnlæg2019)</f>
        <v>66015.821222517945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244484.52654411201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('Fane 2.1. Økonomisk ramme 2019'!C16/GenereltKravDrift2018-'Fane 2.1. Økonomisk ramme 2019'!C16)*(1+Prisudvikling2018)*GenereltKravDrift2018</f>
        <v>-187490.05325097899</v>
      </c>
      <c r="D14" s="8" t="s">
        <v>2</v>
      </c>
      <c r="E14" s="14"/>
      <c r="F14" s="13"/>
      <c r="G14" s="1"/>
    </row>
    <row r="15" spans="1:7" ht="15" customHeight="1" x14ac:dyDescent="0.25">
      <c r="A15" s="1"/>
      <c r="B15" s="50" t="s">
        <v>129</v>
      </c>
      <c r="C15" s="11">
        <f>(('Fane 2.1. Økonomisk ramme 2019'!C17/GenereltKravAnlæg2018-'Fane 2.1. Økonomisk ramme 2019'!C17)*(1+Prisudvikling2018)*GenereltKravAnlæg2018)</f>
        <v>-84435.304032763161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('Fane 2.1. Økonomisk ramme 2019'!C18/GenereltKravDrift2019-'Fane 2.1. Økonomisk ramme 2019'!C18)*(1+Prisudvikling2019)*GenereltKravDrift2019</f>
        <v>0</v>
      </c>
      <c r="D16" s="8" t="s">
        <v>2</v>
      </c>
      <c r="E16" s="14"/>
      <c r="F16" s="13"/>
      <c r="G16" s="1"/>
    </row>
    <row r="17" spans="1:7" ht="15" customHeight="1" x14ac:dyDescent="0.25">
      <c r="A17" s="1"/>
      <c r="B17" s="50" t="s">
        <v>131</v>
      </c>
      <c r="C17" s="11">
        <f>(('Fane 2.1. Økonomisk ramme 2019'!C19/GenereltKravAnlæg2019-'Fane 2.1. Økonomisk ramme 2019'!C19)*(1+Prisudvikling2019)*GenereltKravAnlæg2019)</f>
        <v>-584.04395083025292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47" t="s">
        <v>40</v>
      </c>
      <c r="C18" s="17">
        <f>SUM(C9,C12:C17)</f>
        <v>13944782.898843568</v>
      </c>
      <c r="D18" s="18" t="s">
        <v>2</v>
      </c>
      <c r="E18" s="17">
        <f>C18</f>
        <v>13944782.898843568</v>
      </c>
      <c r="F18" s="18" t="s">
        <v>2</v>
      </c>
      <c r="G18" s="1"/>
    </row>
    <row r="19" spans="1:7" ht="15" customHeight="1" x14ac:dyDescent="0.25">
      <c r="A19" s="1"/>
      <c r="B19" s="92" t="s">
        <v>74</v>
      </c>
      <c r="C19" s="93"/>
      <c r="D19" s="93"/>
      <c r="E19" s="93"/>
      <c r="F19" s="94"/>
      <c r="G19" s="1"/>
    </row>
    <row r="20" spans="1:7" ht="15" customHeight="1" x14ac:dyDescent="0.25">
      <c r="A20" s="1"/>
      <c r="B20" s="46" t="s">
        <v>141</v>
      </c>
      <c r="C20" s="12">
        <v>82289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-1645.78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80643.22</v>
      </c>
      <c r="D22" s="18" t="s">
        <v>2</v>
      </c>
      <c r="E22" s="17">
        <f>C22</f>
        <v>80643.22</v>
      </c>
      <c r="F22" s="18" t="s">
        <v>2</v>
      </c>
      <c r="G22" s="1"/>
    </row>
    <row r="23" spans="1:7" x14ac:dyDescent="0.25">
      <c r="A23" s="1"/>
      <c r="B23" s="92" t="s">
        <v>22</v>
      </c>
      <c r="C23" s="93"/>
      <c r="D23" s="93"/>
      <c r="E23" s="93"/>
      <c r="F23" s="94"/>
      <c r="G23" s="1"/>
    </row>
    <row r="24" spans="1:7" ht="15" customHeight="1" x14ac:dyDescent="0.25">
      <c r="A24" s="1"/>
      <c r="B24" s="46" t="s">
        <v>22</v>
      </c>
      <c r="C24" s="11">
        <f>'Fane 4. Ikke-påvirkelige omk.'!E17*(1+Prisudvikling2019)</f>
        <v>3989594.4306452973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3989594.4306452973</v>
      </c>
      <c r="D26" s="18" t="s">
        <v>2</v>
      </c>
      <c r="E26" s="17">
        <f>C26</f>
        <v>3989594.4306452973</v>
      </c>
      <c r="F26" s="18" t="s">
        <v>2</v>
      </c>
      <c r="G26" s="1"/>
    </row>
    <row r="27" spans="1:7" x14ac:dyDescent="0.25">
      <c r="A27" s="1"/>
      <c r="B27" s="92" t="s">
        <v>15</v>
      </c>
      <c r="C27" s="93"/>
      <c r="D27" s="93"/>
      <c r="E27" s="93"/>
      <c r="F27" s="94"/>
      <c r="G27" s="1"/>
    </row>
    <row r="28" spans="1:7" ht="15" customHeight="1" x14ac:dyDescent="0.25">
      <c r="A28" s="1"/>
      <c r="B28" s="29" t="s">
        <v>24</v>
      </c>
      <c r="C28" s="17">
        <f>IF('Fane 6. Hist. over el. underdæk'!G12&gt;1,'Fane 6. Hist. over el. underdæk'!G13,0)</f>
        <v>0</v>
      </c>
      <c r="D28" s="18" t="s">
        <v>2</v>
      </c>
      <c r="E28" s="17">
        <f>C28</f>
        <v>0</v>
      </c>
      <c r="F28" s="18" t="s">
        <v>2</v>
      </c>
      <c r="G28" s="1"/>
    </row>
    <row r="29" spans="1:7" ht="15" customHeight="1" x14ac:dyDescent="0.25">
      <c r="A29" s="1"/>
      <c r="B29" s="39" t="s">
        <v>139</v>
      </c>
      <c r="C29" s="40"/>
      <c r="D29" s="40"/>
      <c r="E29" s="40"/>
      <c r="F29" s="41"/>
      <c r="G29" s="1"/>
    </row>
    <row r="30" spans="1:7" ht="15" customHeight="1" x14ac:dyDescent="0.25">
      <c r="A30" s="1"/>
      <c r="B30" s="47" t="s">
        <v>140</v>
      </c>
      <c r="C30" s="17">
        <v>-1000000</v>
      </c>
      <c r="D30" s="18" t="s">
        <v>2</v>
      </c>
      <c r="E30" s="17">
        <f>C30</f>
        <v>-1000000</v>
      </c>
      <c r="F30" s="18" t="s">
        <v>2</v>
      </c>
      <c r="G30" s="1"/>
    </row>
    <row r="31" spans="1:7" ht="15" customHeight="1" x14ac:dyDescent="0.25">
      <c r="A31" s="1"/>
      <c r="B31" s="39" t="s">
        <v>150</v>
      </c>
      <c r="C31" s="40"/>
      <c r="D31" s="40"/>
      <c r="E31" s="40"/>
      <c r="F31" s="41"/>
      <c r="G31" s="1"/>
    </row>
    <row r="32" spans="1:7" ht="15" customHeight="1" x14ac:dyDescent="0.25">
      <c r="A32" s="1"/>
      <c r="B32" s="47" t="s">
        <v>150</v>
      </c>
      <c r="C32" s="17">
        <v>1486000</v>
      </c>
      <c r="D32" s="18" t="s">
        <v>2</v>
      </c>
      <c r="E32" s="17">
        <f>C32</f>
        <v>1486000</v>
      </c>
      <c r="F32" s="18" t="s">
        <v>2</v>
      </c>
      <c r="G32" s="1"/>
    </row>
    <row r="33" spans="1:7" x14ac:dyDescent="0.25">
      <c r="A33" s="1"/>
      <c r="B33" s="39" t="s">
        <v>56</v>
      </c>
      <c r="C33" s="40"/>
      <c r="D33" s="41"/>
      <c r="E33" s="20">
        <f>SUM(E18,E22,E26,E28,E30,E32)</f>
        <v>18501020.549488865</v>
      </c>
      <c r="F33" s="21" t="s">
        <v>2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sheetProtection password="DFE9" sheet="1" objects="1" scenarios="1"/>
  <mergeCells count="6">
    <mergeCell ref="B3:F4"/>
    <mergeCell ref="B5:F5"/>
    <mergeCell ref="B27:F27"/>
    <mergeCell ref="B23:F23"/>
    <mergeCell ref="B19:F19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89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/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x14ac:dyDescent="0.25">
      <c r="A9" s="1"/>
      <c r="B9" s="42" t="s">
        <v>57</v>
      </c>
      <c r="C9" s="7">
        <f>'Fane 2.2. Økonomisk ramme 2020'!E18</f>
        <v>13944782.898843568</v>
      </c>
      <c r="D9" s="8" t="s">
        <v>2</v>
      </c>
      <c r="E9" s="9"/>
      <c r="F9" s="10"/>
      <c r="G9" s="1"/>
    </row>
    <row r="10" spans="1:7" x14ac:dyDescent="0.25">
      <c r="A10" s="1"/>
      <c r="B10" s="46" t="s">
        <v>132</v>
      </c>
      <c r="C10" s="7">
        <f>'Fane 2.2. Økonomisk ramme 2020'!C10*(1+Prisudvikling2019)*(1-IndividueltKrav-GenereltKravDrift2019)</f>
        <v>0</v>
      </c>
      <c r="D10" s="8" t="s">
        <v>2</v>
      </c>
      <c r="E10" s="32"/>
      <c r="F10" s="13"/>
      <c r="G10" s="1"/>
    </row>
    <row r="11" spans="1:7" x14ac:dyDescent="0.25">
      <c r="A11" s="1"/>
      <c r="B11" s="50" t="s">
        <v>133</v>
      </c>
      <c r="C11" s="7">
        <f>'Fane 2.2. Økonomisk ramme 2020'!C11*(1+Prisudvikling2019)*(1-IndividueltKrav-GenereltKravAnlæg2019)</f>
        <v>66547.444650348247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243993.77226297226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(('Fane 2.2. Økonomisk ramme 2020'!C14/GenereltKravDrift2018-'Fane 2.2. Økonomisk ramme 2020'!C14)*(1+Prisudvikling2018)*GenereltKravDrift2018)</f>
        <v>-186955.70659921371</v>
      </c>
      <c r="D14" s="8" t="s">
        <v>2</v>
      </c>
      <c r="E14" s="12"/>
      <c r="F14" s="13"/>
      <c r="G14" s="1"/>
    </row>
    <row r="15" spans="1:7" ht="15" customHeight="1" x14ac:dyDescent="0.25">
      <c r="A15" s="1"/>
      <c r="B15" s="50" t="s">
        <v>129</v>
      </c>
      <c r="C15" s="11">
        <f>(('Fane 2.2. Økonomisk ramme 2020'!C15/GenereltKravAnlæg2018-'Fane 2.2. Økonomisk ramme 2020'!C15)*(1+Prisudvikling2018)*GenereltKravAnlæg2018)</f>
        <v>-84392.263136532463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(('Fane 2.2. Økonomisk ramme 2020'!C16/GenereltKravDrift2019-'Fane 2.2. Økonomisk ramme 2020'!C16)*(1+Prisudvikling2019)*GenereltKravDrift2019)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131</v>
      </c>
      <c r="C17" s="11">
        <f>(('Fane 2.2. Økonomisk ramme 2020'!C17/GenereltKravAnlæg2019-'Fane 2.2. Økonomisk ramme 2020'!C17)*(1+Prisudvikling2019)*GenereltKravAnlæg2019)</f>
        <v>-588.74723924497039</v>
      </c>
      <c r="D17" s="8" t="s">
        <v>2</v>
      </c>
      <c r="E17" s="12"/>
      <c r="F17" s="13"/>
      <c r="G17" s="1"/>
    </row>
    <row r="18" spans="1:7" x14ac:dyDescent="0.25">
      <c r="A18" s="1"/>
      <c r="B18" s="47" t="s">
        <v>40</v>
      </c>
      <c r="C18" s="17">
        <f>SUM(C9,C12:C17)</f>
        <v>13916839.954131549</v>
      </c>
      <c r="D18" s="18" t="s">
        <v>2</v>
      </c>
      <c r="E18" s="17">
        <f>C18</f>
        <v>13916839.954131549</v>
      </c>
      <c r="F18" s="18" t="s">
        <v>2</v>
      </c>
      <c r="G18" s="1"/>
    </row>
    <row r="19" spans="1:7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141</v>
      </c>
      <c r="C20" s="12">
        <v>83729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-1674.58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82054.42</v>
      </c>
      <c r="D22" s="18" t="s">
        <v>2</v>
      </c>
      <c r="E22" s="17">
        <f>C22</f>
        <v>82054.42</v>
      </c>
      <c r="F22" s="18" t="s">
        <v>2</v>
      </c>
      <c r="G22" s="1"/>
    </row>
    <row r="23" spans="1:7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omk.'!E17*(1+Prisudvikling2019)^2</f>
        <v>4057018.576523202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4057018.576523202</v>
      </c>
      <c r="D26" s="18" t="s">
        <v>2</v>
      </c>
      <c r="E26" s="17">
        <f>C26</f>
        <v>4057018.576523202</v>
      </c>
      <c r="F26" s="18" t="s">
        <v>2</v>
      </c>
      <c r="G26" s="1"/>
    </row>
    <row r="27" spans="1:7" ht="15" customHeight="1" x14ac:dyDescent="0.25">
      <c r="A27" s="1"/>
      <c r="B27" s="39" t="s">
        <v>150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7" t="s">
        <v>150</v>
      </c>
      <c r="C28" s="17">
        <v>1924000</v>
      </c>
      <c r="D28" s="18" t="s">
        <v>2</v>
      </c>
      <c r="E28" s="17">
        <f>C28</f>
        <v>1924000</v>
      </c>
      <c r="F28" s="18" t="s">
        <v>2</v>
      </c>
      <c r="G28" s="1"/>
    </row>
    <row r="29" spans="1:7" x14ac:dyDescent="0.25">
      <c r="A29" s="1"/>
      <c r="B29" s="39" t="s">
        <v>68</v>
      </c>
      <c r="C29" s="40"/>
      <c r="D29" s="41"/>
      <c r="E29" s="20">
        <f>SUM(E18,E22,E26,E28)</f>
        <v>19979912.950654753</v>
      </c>
      <c r="F29" s="21" t="s">
        <v>2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90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2021'!E18</f>
        <v>13916839.954131549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235194.59522482316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2021'!C14/GenereltKravDrift2018-'Fane 2.3. Økonomisk ramme 2021'!C14)*(1+Prisudvikling2019)*GenereltKravDrift2019+('Fane 2.3. Økonomisk ramme 2021'!C16/GenereltKravDrift2019-'Fane 2.3. Økonomisk ramme 2021'!C16)*(1+Prisudvikling2019)*GenereltKravDrift2019</f>
        <v>-186312.95287992561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2021'!C15/GenereltKravAnlæg2018-'Fane 2.3. Økonomisk ramme 2021'!C15)*(1+Prisudvikling2019)*GenereltKravAnlæg2019+('Fane 2.3. Økonomisk ramme 2021'!C17/GenereltKravAnlæg2019-'Fane 2.3. Økonomisk ramme 2021'!C17)*(1+Prisudvikling2019)*GenereltKravAnlæg2019</f>
        <v>-42028.838351950792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13923692.758124497</v>
      </c>
      <c r="D13" s="18" t="s">
        <v>2</v>
      </c>
      <c r="E13" s="17">
        <f>C13</f>
        <v>13923692.758124497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141</v>
      </c>
      <c r="C15" s="12">
        <v>85093.870761289974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-1701.8774152257995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83391.993346064177</v>
      </c>
      <c r="D17" s="18" t="s">
        <v>2</v>
      </c>
      <c r="E17" s="17">
        <f>C17</f>
        <v>83391.993346064177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omk.'!E17*(1+Prisudvikling2019)^3</f>
        <v>4125582.1904664435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4125582.1904664435</v>
      </c>
      <c r="D21" s="18" t="s">
        <v>2</v>
      </c>
      <c r="E21" s="17">
        <f>C21</f>
        <v>4125582.1904664435</v>
      </c>
      <c r="F21" s="18" t="s">
        <v>2</v>
      </c>
      <c r="G21" s="1"/>
    </row>
    <row r="22" spans="1:7" ht="15" customHeight="1" x14ac:dyDescent="0.25">
      <c r="A22" s="1"/>
      <c r="B22" s="39" t="s">
        <v>112</v>
      </c>
      <c r="C22" s="40"/>
      <c r="D22" s="40"/>
      <c r="E22" s="40"/>
      <c r="F22" s="41"/>
      <c r="G22" s="1"/>
    </row>
    <row r="23" spans="1:7" ht="15" customHeight="1" x14ac:dyDescent="0.25">
      <c r="A23" s="1"/>
      <c r="B23" s="29" t="s">
        <v>106</v>
      </c>
      <c r="C23" s="17">
        <f>'Fane 7. Kontrol af ØR2017'!G22</f>
        <v>0</v>
      </c>
      <c r="D23" s="18" t="s">
        <v>2</v>
      </c>
      <c r="E23" s="17">
        <f>C23</f>
        <v>0</v>
      </c>
      <c r="F23" s="18" t="s">
        <v>2</v>
      </c>
      <c r="G23" s="1"/>
    </row>
    <row r="24" spans="1:7" ht="15" customHeight="1" x14ac:dyDescent="0.25">
      <c r="A24" s="1"/>
      <c r="B24" s="39" t="s">
        <v>150</v>
      </c>
      <c r="C24" s="40"/>
      <c r="D24" s="40"/>
      <c r="E24" s="40"/>
      <c r="F24" s="41"/>
      <c r="G24" s="1"/>
    </row>
    <row r="25" spans="1:7" ht="15" customHeight="1" x14ac:dyDescent="0.25">
      <c r="A25" s="1"/>
      <c r="B25" s="47" t="s">
        <v>150</v>
      </c>
      <c r="C25" s="17">
        <v>2090000</v>
      </c>
      <c r="D25" s="18" t="s">
        <v>2</v>
      </c>
      <c r="E25" s="17">
        <f>C25</f>
        <v>2090000</v>
      </c>
      <c r="F25" s="18" t="s">
        <v>2</v>
      </c>
      <c r="G25" s="1"/>
    </row>
    <row r="26" spans="1:7" x14ac:dyDescent="0.25">
      <c r="A26" s="1"/>
      <c r="B26" s="39" t="s">
        <v>78</v>
      </c>
      <c r="C26" s="40"/>
      <c r="D26" s="41"/>
      <c r="E26" s="20">
        <f>SUM(E13,E17,E21,E23,E25)</f>
        <v>20222666.941937003</v>
      </c>
      <c r="F26" s="21" t="s">
        <v>2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91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17324865.537057187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250937.78325000001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3138501.4674827368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256058.96250000002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13935426.286324451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100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109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6" t="s">
        <v>143</v>
      </c>
      <c r="C10" s="67"/>
      <c r="D10" s="68"/>
      <c r="E10" s="11">
        <v>49535</v>
      </c>
      <c r="F10" s="22" t="s">
        <v>2</v>
      </c>
      <c r="G10" s="1"/>
      <c r="H10" s="1"/>
    </row>
    <row r="11" spans="1:8" ht="24.75" customHeight="1" x14ac:dyDescent="0.25">
      <c r="A11" s="1"/>
      <c r="B11" s="96" t="s">
        <v>144</v>
      </c>
      <c r="C11" s="97"/>
      <c r="D11" s="98"/>
      <c r="E11" s="11">
        <v>2327227</v>
      </c>
      <c r="F11" s="22" t="s">
        <v>2</v>
      </c>
      <c r="G11" s="1"/>
      <c r="H11" s="1"/>
    </row>
    <row r="12" spans="1:8" x14ac:dyDescent="0.25">
      <c r="A12" s="1"/>
      <c r="B12" s="66" t="s">
        <v>145</v>
      </c>
      <c r="C12" s="67"/>
      <c r="D12" s="68"/>
      <c r="E12" s="11">
        <v>21673</v>
      </c>
      <c r="F12" s="22" t="s">
        <v>2</v>
      </c>
      <c r="G12" s="1"/>
      <c r="H12" s="1"/>
    </row>
    <row r="13" spans="1:8" x14ac:dyDescent="0.25">
      <c r="A13" s="1"/>
      <c r="B13" s="66" t="s">
        <v>154</v>
      </c>
      <c r="C13" s="67"/>
      <c r="D13" s="68"/>
      <c r="E13" s="11">
        <v>1358502</v>
      </c>
      <c r="F13" s="22" t="s">
        <v>2</v>
      </c>
      <c r="G13" s="1"/>
      <c r="H13" s="1"/>
    </row>
    <row r="14" spans="1:8" x14ac:dyDescent="0.25">
      <c r="A14" s="1"/>
      <c r="B14" s="66" t="s">
        <v>146</v>
      </c>
      <c r="C14" s="67"/>
      <c r="D14" s="68"/>
      <c r="E14" s="11">
        <v>0</v>
      </c>
      <c r="F14" s="22" t="s">
        <v>2</v>
      </c>
      <c r="G14" s="1"/>
      <c r="H14" s="1"/>
    </row>
    <row r="15" spans="1:8" x14ac:dyDescent="0.25">
      <c r="A15" s="1"/>
      <c r="B15" s="66" t="s">
        <v>147</v>
      </c>
      <c r="C15" s="67"/>
      <c r="D15" s="68"/>
      <c r="E15" s="11">
        <v>37034</v>
      </c>
      <c r="F15" s="22" t="s">
        <v>2</v>
      </c>
      <c r="G15" s="1"/>
      <c r="H15" s="1"/>
    </row>
    <row r="16" spans="1:8" x14ac:dyDescent="0.25">
      <c r="A16" s="1"/>
      <c r="B16" s="92" t="s">
        <v>123</v>
      </c>
      <c r="C16" s="93"/>
      <c r="D16" s="94"/>
      <c r="E16" s="20">
        <f>SUM(E10:E15)</f>
        <v>3793971</v>
      </c>
      <c r="F16" s="21" t="s">
        <v>2</v>
      </c>
      <c r="G16" s="1"/>
      <c r="H16" s="1"/>
    </row>
    <row r="17" spans="1:8" x14ac:dyDescent="0.25">
      <c r="A17" s="1"/>
      <c r="B17" s="92" t="s">
        <v>124</v>
      </c>
      <c r="C17" s="93"/>
      <c r="D17" s="94"/>
      <c r="E17" s="20">
        <f>E16*(1+Prisudvikling2019)^2</f>
        <v>3923290.8158573089</v>
      </c>
      <c r="F17" s="21" t="s">
        <v>2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4">
    <mergeCell ref="B3:F4"/>
    <mergeCell ref="B16:D16"/>
    <mergeCell ref="B17:D17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115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193789.02575361027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9689451.2876805142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84521.4516902795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4775223.2593378248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134</v>
      </c>
      <c r="C17" s="100"/>
      <c r="D17" s="100"/>
      <c r="E17" s="100"/>
      <c r="F17" s="101"/>
      <c r="G17" s="57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7">
        <v>0.02</v>
      </c>
      <c r="H18" s="22"/>
      <c r="I18" s="1"/>
    </row>
    <row r="19" spans="1:9" x14ac:dyDescent="0.25">
      <c r="A19" s="1"/>
      <c r="B19" s="99" t="s">
        <v>135</v>
      </c>
      <c r="C19" s="100"/>
      <c r="D19" s="100"/>
      <c r="E19" s="100"/>
      <c r="F19" s="101"/>
      <c r="G19" s="57">
        <v>1.77E-2</v>
      </c>
      <c r="H19" s="22"/>
      <c r="I19" s="1"/>
    </row>
    <row r="20" spans="1:9" x14ac:dyDescent="0.25">
      <c r="A20" s="1"/>
      <c r="B20" s="99" t="s">
        <v>127</v>
      </c>
      <c r="C20" s="100"/>
      <c r="D20" s="100"/>
      <c r="E20" s="100"/>
      <c r="F20" s="101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-1695648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-1384802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-310846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1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-310846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2018-10-10T07:34:01Z</dcterms:modified>
</cp:coreProperties>
</file>