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C10" i="23" l="1"/>
  <c r="C10" i="22"/>
  <c r="C11" i="15"/>
  <c r="F11" i="20" l="1"/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G12" i="30" l="1"/>
  <c r="G10" i="30"/>
  <c r="F13" i="11"/>
  <c r="D10" i="20" s="1"/>
  <c r="G13" i="11"/>
  <c r="D23" i="7" l="1"/>
  <c r="F23" i="7" s="1"/>
  <c r="C11" i="2" s="1"/>
  <c r="D22" i="7"/>
  <c r="F22" i="7" s="1"/>
  <c r="C10" i="2" s="1"/>
  <c r="G11" i="27" l="1"/>
  <c r="D12" i="20" l="1"/>
  <c r="F11" i="21"/>
  <c r="F12" i="21" s="1"/>
  <c r="C15" i="2" s="1"/>
  <c r="D11" i="21"/>
  <c r="D12" i="21" s="1"/>
  <c r="C14" i="2" s="1"/>
  <c r="C9" i="2"/>
  <c r="E14" i="19"/>
  <c r="E15" i="19" s="1"/>
  <c r="C22" i="2" l="1"/>
  <c r="E22" i="2" s="1"/>
  <c r="C15" i="22"/>
  <c r="E15" i="22" s="1"/>
  <c r="C15" i="23"/>
  <c r="E15" i="23" s="1"/>
  <c r="C16" i="15"/>
  <c r="E16" i="15" s="1"/>
  <c r="G13" i="10"/>
  <c r="C18" i="15" s="1"/>
  <c r="E18" i="15" s="1"/>
  <c r="G11" i="10" l="1"/>
  <c r="E12" i="11" l="1"/>
  <c r="D13" i="20" l="1"/>
  <c r="C12" i="2" s="1"/>
  <c r="C18" i="2" s="1"/>
  <c r="C12" i="15" l="1"/>
  <c r="C11" i="22" s="1"/>
  <c r="C11" i="23" s="1"/>
  <c r="E11" i="11"/>
  <c r="E10" i="11" l="1"/>
  <c r="E13" i="11" s="1"/>
  <c r="F10" i="20" s="1"/>
  <c r="F12" i="20" s="1"/>
  <c r="F13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4" i="15" s="1"/>
  <c r="E14" i="15" s="1"/>
  <c r="E21" i="15" s="1"/>
  <c r="C8" i="22" l="1"/>
  <c r="C9" i="22" s="1"/>
  <c r="C13" i="22" s="1"/>
  <c r="E13" i="22" s="1"/>
  <c r="E16" i="22" s="1"/>
  <c r="C8" i="23" l="1"/>
  <c r="C9" i="23" l="1"/>
  <c r="C13" i="23" l="1"/>
  <c r="E13" i="23" s="1"/>
  <c r="E16" i="23" s="1"/>
</calcChain>
</file>

<file path=xl/sharedStrings.xml><?xml version="1.0" encoding="utf-8"?>
<sst xmlns="http://schemas.openxmlformats.org/spreadsheetml/2006/main" count="315" uniqueCount="161">
  <si>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</si>
  <si>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</si>
  <si>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</si>
  <si>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</si>
  <si>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</si>
  <si>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</si>
  <si>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</si>
  <si>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</si>
  <si>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</si>
  <si>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</si>
  <si>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</si>
  <si>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</si>
  <si>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</si>
  <si>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</si>
  <si>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</si>
  <si>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</si>
  <si>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</si>
  <si>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</si>
  <si>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</si>
  <si>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</si>
  <si>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</si>
  <si>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</si>
  <si>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</si>
  <si>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</si>
  <si>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</si>
  <si>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</si>
  <si>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</si>
  <si>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</si>
  <si>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</si>
  <si>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</si>
  <si>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</si>
  <si>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</si>
  <si>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</si>
  <si>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</si>
  <si>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</si>
  <si>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</si>
  <si>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</si>
  <si>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</si>
  <si>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</si>
  <si>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</si>
  <si>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</si>
  <si>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</si>
  <si>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</si>
  <si>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</si>
  <si>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</si>
  <si>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</si>
  <si>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</si>
  <si>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</si>
  <si>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</si>
  <si>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</si>
  <si>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</si>
  <si>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</si>
  <si>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</si>
  <si>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</si>
  <si>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</si>
  <si>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</si>
  <si>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</si>
  <si>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</si>
  <si>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</si>
  <si>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</si>
  <si>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</si>
  <si>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</si>
  <si>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</si>
  <si>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</si>
  <si>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</si>
  <si>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</si>
  <si>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</si>
  <si>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</si>
  <si>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</si>
  <si>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</si>
  <si>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</si>
  <si>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</si>
  <si>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</si>
  <si>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</si>
  <si>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</si>
  <si>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</si>
  <si>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</si>
  <si>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</si>
  <si>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</si>
  <si>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</si>
  <si>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</si>
  <si>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</si>
  <si>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</si>
  <si>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</si>
  <si>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</si>
  <si>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</si>
  <si>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</si>
  <si>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</si>
  <si>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</si>
  <si>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</si>
  <si>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</si>
  <si>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</si>
  <si>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</si>
  <si>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</si>
  <si>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</si>
  <si>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</si>
  <si>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</si>
  <si>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</si>
  <si>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</si>
  <si>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</si>
  <si>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</si>
  <si>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</si>
  <si>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</si>
  <si>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</si>
  <si>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</si>
  <si>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</si>
  <si>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</si>
  <si>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</si>
  <si>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</si>
  <si>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</si>
  <si>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</si>
  <si>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</si>
  <si>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</si>
  <si>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</si>
  <si>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</si>
  <si>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</si>
  <si>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</si>
  <si>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</si>
  <si>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</si>
  <si>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</si>
  <si>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</si>
  <si>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</si>
  <si>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</si>
  <si>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</si>
  <si>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</si>
  <si>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</si>
  <si>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</si>
  <si>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</si>
  <si>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</si>
  <si>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</si>
  <si>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</si>
  <si>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</si>
  <si>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</si>
  <si>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</si>
  <si>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</si>
  <si>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</si>
  <si>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</si>
  <si>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</si>
  <si>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</si>
  <si>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</si>
  <si>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</si>
  <si>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</si>
  <si>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</si>
  <si>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</si>
  <si>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</si>
  <si>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</si>
  <si>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</si>
  <si>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</si>
  <si>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</si>
  <si>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</si>
  <si>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Afgift til Forsyningsekretariatet</t>
  </si>
  <si>
    <t>Køb af ydelser og produkter fra andre vandselskaber reguleret af vandsektorloven</t>
  </si>
  <si>
    <t>Skatter og afgifter</t>
  </si>
  <si>
    <t>Ingen bortfald eller nedsættelse</t>
  </si>
  <si>
    <t>Omlægning i forbindelse med fjernvarmeetablering</t>
  </si>
  <si>
    <t>Ø110 mm &lt; Ledningsnet ≤ Ø 250 mm</t>
  </si>
  <si>
    <t>Ø 50mm &lt; Ledningsnet ≤ Ø110 mm</t>
  </si>
  <si>
    <t>Afregningsmålere, elektroniske ≤ Ø 110mm (Qn 10)</t>
  </si>
  <si>
    <t>Afgift for ledningsført vand</t>
  </si>
  <si>
    <t>Fane 12: Bortfald eller nedsættelse af omkostninger til mål, medfinansiering eller udvidelse</t>
  </si>
  <si>
    <t>Fane 13: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</si>
</sst>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0" t="s">
        <v>4</v>
      </c>
      <c r="E6" s="70"/>
      <c r="F6" s="70"/>
      <c r="G6" s="70"/>
      <c r="H6" s="3"/>
      <c r="I6" s="1"/>
    </row>
    <row r="7" spans="1:9" ht="15" customHeight="1" x14ac:dyDescent="0.25">
      <c r="A7" s="1"/>
      <c r="B7" s="1"/>
      <c r="C7" s="3"/>
      <c r="D7" s="70"/>
      <c r="E7" s="70"/>
      <c r="F7" s="70"/>
      <c r="G7" s="70"/>
      <c r="H7" s="3"/>
      <c r="I7" s="1"/>
    </row>
    <row r="8" spans="1:9" ht="15.75" x14ac:dyDescent="0.25">
      <c r="A8" s="1"/>
      <c r="B8" s="1"/>
      <c r="C8" s="4"/>
      <c r="D8" s="78" t="s">
        <v>137</v>
      </c>
      <c r="E8" s="78"/>
      <c r="F8" s="78"/>
      <c r="G8" s="7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7" t="s">
        <v>5</v>
      </c>
      <c r="E11" s="77"/>
      <c r="F11" s="77"/>
      <c r="G11" s="7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7" t="s">
        <v>34</v>
      </c>
      <c r="E13" s="68"/>
      <c r="F13" s="68"/>
      <c r="G13" s="69"/>
      <c r="H13" s="1"/>
      <c r="I13" s="1"/>
    </row>
    <row r="14" spans="1:9" x14ac:dyDescent="0.25">
      <c r="A14" s="1"/>
      <c r="B14" s="1"/>
      <c r="C14" s="6" t="s">
        <v>33</v>
      </c>
      <c r="D14" s="67" t="s">
        <v>120</v>
      </c>
      <c r="E14" s="68"/>
      <c r="F14" s="68"/>
      <c r="G14" s="69"/>
      <c r="H14" s="1"/>
      <c r="I14" s="1"/>
    </row>
    <row r="15" spans="1:9" x14ac:dyDescent="0.25">
      <c r="A15" s="1"/>
      <c r="B15" s="1"/>
      <c r="C15" s="6" t="s">
        <v>119</v>
      </c>
      <c r="D15" s="67" t="s">
        <v>122</v>
      </c>
      <c r="E15" s="68"/>
      <c r="F15" s="68"/>
      <c r="G15" s="69"/>
      <c r="H15" s="1"/>
      <c r="I15" s="1"/>
    </row>
    <row r="16" spans="1:9" x14ac:dyDescent="0.25">
      <c r="A16" s="1"/>
      <c r="B16" s="1"/>
      <c r="C16" s="6" t="s">
        <v>121</v>
      </c>
      <c r="D16" s="67" t="s">
        <v>138</v>
      </c>
      <c r="E16" s="68"/>
      <c r="F16" s="68"/>
      <c r="G16" s="69"/>
      <c r="H16" s="1"/>
      <c r="I16" s="1"/>
    </row>
    <row r="17" spans="1:9" x14ac:dyDescent="0.25">
      <c r="A17" s="1"/>
      <c r="B17" s="1"/>
      <c r="C17" s="6" t="s">
        <v>7</v>
      </c>
      <c r="D17" s="79" t="s">
        <v>123</v>
      </c>
      <c r="E17" s="80"/>
      <c r="F17" s="80"/>
      <c r="G17" s="81"/>
      <c r="H17" s="1"/>
      <c r="I17" s="1"/>
    </row>
    <row r="18" spans="1:9" x14ac:dyDescent="0.25">
      <c r="A18" s="1"/>
      <c r="B18" s="1"/>
      <c r="C18" s="6" t="s">
        <v>8</v>
      </c>
      <c r="D18" s="79" t="s">
        <v>131</v>
      </c>
      <c r="E18" s="80"/>
      <c r="F18" s="80"/>
      <c r="G18" s="81"/>
      <c r="H18" s="1"/>
      <c r="I18" s="1"/>
    </row>
    <row r="19" spans="1:9" x14ac:dyDescent="0.25">
      <c r="A19" s="1"/>
      <c r="B19" s="1"/>
      <c r="C19" s="6" t="s">
        <v>9</v>
      </c>
      <c r="D19" s="79" t="s">
        <v>124</v>
      </c>
      <c r="E19" s="80"/>
      <c r="F19" s="80"/>
      <c r="G19" s="81"/>
      <c r="H19" s="1"/>
      <c r="I19" s="1"/>
    </row>
    <row r="20" spans="1:9" x14ac:dyDescent="0.25">
      <c r="A20" s="1"/>
      <c r="B20" s="1"/>
      <c r="C20" s="6" t="s">
        <v>10</v>
      </c>
      <c r="D20" s="82" t="s">
        <v>132</v>
      </c>
      <c r="E20" s="83"/>
      <c r="F20" s="83"/>
      <c r="G20" s="84"/>
      <c r="H20" s="1"/>
      <c r="I20" s="1"/>
    </row>
    <row r="21" spans="1:9" x14ac:dyDescent="0.25">
      <c r="A21" s="1"/>
      <c r="B21" s="1"/>
      <c r="C21" s="6" t="s">
        <v>11</v>
      </c>
      <c r="D21" s="82" t="s">
        <v>125</v>
      </c>
      <c r="E21" s="83"/>
      <c r="F21" s="83"/>
      <c r="G21" s="84"/>
      <c r="H21" s="1"/>
      <c r="I21" s="1"/>
    </row>
    <row r="22" spans="1:9" x14ac:dyDescent="0.25">
      <c r="A22" s="1"/>
      <c r="B22" s="1"/>
      <c r="C22" s="6" t="s">
        <v>12</v>
      </c>
      <c r="D22" s="71" t="s">
        <v>127</v>
      </c>
      <c r="E22" s="72"/>
      <c r="F22" s="72"/>
      <c r="G22" s="73"/>
      <c r="H22" s="1"/>
      <c r="I22" s="1"/>
    </row>
    <row r="23" spans="1:9" x14ac:dyDescent="0.25">
      <c r="A23" s="1"/>
      <c r="B23" s="1"/>
      <c r="C23" s="6" t="s">
        <v>13</v>
      </c>
      <c r="D23" s="74" t="s">
        <v>126</v>
      </c>
      <c r="E23" s="75"/>
      <c r="F23" s="75"/>
      <c r="G23" s="76"/>
      <c r="H23" s="1"/>
      <c r="I23" s="1"/>
    </row>
    <row r="24" spans="1:9" x14ac:dyDescent="0.25">
      <c r="A24" s="1"/>
      <c r="B24" s="1"/>
      <c r="C24" s="6" t="s">
        <v>27</v>
      </c>
      <c r="D24" s="74" t="s">
        <v>128</v>
      </c>
      <c r="E24" s="75"/>
      <c r="F24" s="75"/>
      <c r="G24" s="76"/>
      <c r="H24" s="1"/>
      <c r="I24" s="1"/>
    </row>
    <row r="25" spans="1:9" x14ac:dyDescent="0.25">
      <c r="A25" s="1"/>
      <c r="B25" s="1"/>
      <c r="C25" s="6" t="s">
        <v>31</v>
      </c>
      <c r="D25" s="74" t="s">
        <v>30</v>
      </c>
      <c r="E25" s="75"/>
      <c r="F25" s="75"/>
      <c r="G25" s="76"/>
      <c r="H25" s="1"/>
      <c r="I25" s="1"/>
    </row>
    <row r="26" spans="1:9" x14ac:dyDescent="0.25">
      <c r="A26" s="1"/>
      <c r="B26" s="1"/>
      <c r="C26" s="6" t="s">
        <v>32</v>
      </c>
      <c r="D26" s="85" t="s">
        <v>129</v>
      </c>
      <c r="E26" s="86"/>
      <c r="F26" s="86"/>
      <c r="G26" s="87"/>
      <c r="H26" s="1"/>
      <c r="I26" s="1"/>
    </row>
    <row r="27" spans="1:9" x14ac:dyDescent="0.25">
      <c r="A27" s="1"/>
      <c r="B27" s="1"/>
      <c r="C27" s="6" t="s">
        <v>130</v>
      </c>
      <c r="D27" s="85" t="s">
        <v>58</v>
      </c>
      <c r="E27" s="86"/>
      <c r="F27" s="86"/>
      <c r="G27" s="87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26:G26"/>
    <mergeCell ref="D27:G27"/>
    <mergeCell ref="D19:G19"/>
    <mergeCell ref="D21:G21"/>
    <mergeCell ref="D24:G24"/>
    <mergeCell ref="D25:G25"/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118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15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2" t="s">
        <v>85</v>
      </c>
      <c r="C9" s="93"/>
      <c r="D9" s="93"/>
      <c r="E9" s="93"/>
      <c r="F9" s="94"/>
      <c r="G9" s="55">
        <v>295998.76159276557</v>
      </c>
      <c r="H9" s="22" t="s">
        <v>3</v>
      </c>
      <c r="I9" s="1"/>
    </row>
    <row r="10" spans="1:9" x14ac:dyDescent="0.25">
      <c r="A10" s="1"/>
      <c r="B10" s="92" t="s">
        <v>86</v>
      </c>
      <c r="C10" s="93"/>
      <c r="D10" s="93"/>
      <c r="E10" s="93"/>
      <c r="F10" s="94"/>
      <c r="G10" s="55">
        <f>G9/G17</f>
        <v>14799938.079638278</v>
      </c>
      <c r="H10" s="22" t="s">
        <v>3</v>
      </c>
      <c r="I10" s="1"/>
    </row>
    <row r="11" spans="1:9" x14ac:dyDescent="0.25">
      <c r="A11" s="1"/>
      <c r="B11" s="92" t="s">
        <v>87</v>
      </c>
      <c r="C11" s="93"/>
      <c r="D11" s="93"/>
      <c r="E11" s="93"/>
      <c r="F11" s="94"/>
      <c r="G11" s="55">
        <v>112695.42591035576</v>
      </c>
      <c r="H11" s="22" t="s">
        <v>3</v>
      </c>
      <c r="I11" s="1"/>
    </row>
    <row r="12" spans="1:9" x14ac:dyDescent="0.25">
      <c r="A12" s="1"/>
      <c r="B12" s="92" t="s">
        <v>88</v>
      </c>
      <c r="C12" s="93"/>
      <c r="D12" s="93"/>
      <c r="E12" s="93"/>
      <c r="F12" s="94"/>
      <c r="G12" s="55">
        <f>G11/G19</f>
        <v>12384112.737401731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81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2" t="s">
        <v>90</v>
      </c>
      <c r="C17" s="93"/>
      <c r="D17" s="93"/>
      <c r="E17" s="93"/>
      <c r="F17" s="94"/>
      <c r="G17" s="54">
        <v>0.02</v>
      </c>
      <c r="H17" s="22"/>
      <c r="I17" s="1"/>
    </row>
    <row r="18" spans="1:9" x14ac:dyDescent="0.25">
      <c r="A18" s="1"/>
      <c r="B18" s="92" t="s">
        <v>89</v>
      </c>
      <c r="C18" s="93"/>
      <c r="D18" s="93"/>
      <c r="E18" s="93"/>
      <c r="F18" s="94"/>
      <c r="G18" s="54">
        <v>0.02</v>
      </c>
      <c r="H18" s="22"/>
      <c r="I18" s="1"/>
    </row>
    <row r="19" spans="1:9" x14ac:dyDescent="0.25">
      <c r="A19" s="1"/>
      <c r="B19" s="92" t="s">
        <v>91</v>
      </c>
      <c r="C19" s="93"/>
      <c r="D19" s="93"/>
      <c r="E19" s="93"/>
      <c r="F19" s="94"/>
      <c r="G19" s="54">
        <v>9.1000000000000004E-3</v>
      </c>
      <c r="H19" s="22"/>
      <c r="I19" s="1"/>
    </row>
    <row r="20" spans="1:9" x14ac:dyDescent="0.25">
      <c r="A20" s="1"/>
      <c r="B20" s="92" t="s">
        <v>149</v>
      </c>
      <c r="C20" s="93"/>
      <c r="D20" s="93"/>
      <c r="E20" s="93"/>
      <c r="F20" s="94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20:F20"/>
    <mergeCell ref="B12:F12"/>
    <mergeCell ref="B16:H16"/>
    <mergeCell ref="B17:F17"/>
    <mergeCell ref="B18:F18"/>
    <mergeCell ref="B19:F19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135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24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2" t="s">
        <v>18</v>
      </c>
      <c r="C9" s="93"/>
      <c r="D9" s="93"/>
      <c r="E9" s="93"/>
      <c r="F9" s="94"/>
      <c r="G9" s="11">
        <v>-2302968</v>
      </c>
      <c r="H9" s="22" t="s">
        <v>3</v>
      </c>
      <c r="I9" s="1"/>
    </row>
    <row r="10" spans="1:9" x14ac:dyDescent="0.25">
      <c r="A10" s="1"/>
      <c r="B10" s="92" t="s">
        <v>53</v>
      </c>
      <c r="C10" s="93"/>
      <c r="D10" s="93"/>
      <c r="E10" s="93"/>
      <c r="F10" s="94"/>
      <c r="G10" s="11">
        <v>-1926493</v>
      </c>
      <c r="H10" s="22" t="s">
        <v>3</v>
      </c>
      <c r="I10" s="1"/>
    </row>
    <row r="11" spans="1:9" x14ac:dyDescent="0.25">
      <c r="A11" s="1"/>
      <c r="B11" s="101" t="s">
        <v>21</v>
      </c>
      <c r="C11" s="102"/>
      <c r="D11" s="102"/>
      <c r="E11" s="102"/>
      <c r="F11" s="103"/>
      <c r="G11" s="31">
        <f>G9-G10</f>
        <v>-376475</v>
      </c>
      <c r="H11" s="26" t="s">
        <v>3</v>
      </c>
      <c r="I11" s="1"/>
    </row>
    <row r="12" spans="1:9" x14ac:dyDescent="0.25">
      <c r="A12" s="1"/>
      <c r="B12" s="92" t="s">
        <v>19</v>
      </c>
      <c r="C12" s="93"/>
      <c r="D12" s="93"/>
      <c r="E12" s="93"/>
      <c r="F12" s="94"/>
      <c r="G12" s="11">
        <v>2</v>
      </c>
      <c r="H12" s="22" t="s">
        <v>43</v>
      </c>
      <c r="I12" s="1"/>
    </row>
    <row r="13" spans="1:9" x14ac:dyDescent="0.25">
      <c r="A13" s="1"/>
      <c r="B13" s="95" t="s">
        <v>17</v>
      </c>
      <c r="C13" s="96"/>
      <c r="D13" s="96"/>
      <c r="E13" s="96"/>
      <c r="F13" s="97"/>
      <c r="G13" s="20">
        <f>IF(G12 = 0,0,G11/G12)</f>
        <v>-188237.5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0" t="s">
        <v>136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98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2" t="s">
        <v>93</v>
      </c>
      <c r="C9" s="93"/>
      <c r="D9" s="94"/>
      <c r="E9" s="11">
        <v>49586283.172825009</v>
      </c>
      <c r="F9" s="22" t="s">
        <v>3</v>
      </c>
      <c r="G9" s="19"/>
      <c r="H9" s="27"/>
      <c r="I9" s="1"/>
    </row>
    <row r="10" spans="1:9" x14ac:dyDescent="0.25">
      <c r="A10" s="1"/>
      <c r="B10" s="92" t="s">
        <v>94</v>
      </c>
      <c r="C10" s="93"/>
      <c r="D10" s="94"/>
      <c r="E10" s="11">
        <v>48750811</v>
      </c>
      <c r="F10" s="22" t="s">
        <v>3</v>
      </c>
      <c r="G10" s="14"/>
      <c r="H10" s="28"/>
      <c r="I10" s="1"/>
    </row>
    <row r="11" spans="1:9" x14ac:dyDescent="0.25">
      <c r="A11" s="1"/>
      <c r="B11" s="92" t="s">
        <v>99</v>
      </c>
      <c r="C11" s="93"/>
      <c r="D11" s="94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4" t="s">
        <v>107</v>
      </c>
      <c r="C12" s="105"/>
      <c r="D12" s="106"/>
      <c r="E12" s="17">
        <f>E9-(E10-E11)</f>
        <v>835472.17282500863</v>
      </c>
      <c r="F12" s="25" t="s">
        <v>3</v>
      </c>
      <c r="G12" s="17">
        <f>E12</f>
        <v>835472.17282500863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104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2" t="s">
        <v>101</v>
      </c>
      <c r="C17" s="93"/>
      <c r="D17" s="94"/>
      <c r="E17" s="11">
        <v>-1857379.7915333337</v>
      </c>
      <c r="F17" s="22" t="s">
        <v>3</v>
      </c>
      <c r="G17" s="19"/>
      <c r="H17" s="27"/>
      <c r="I17" s="1"/>
    </row>
    <row r="18" spans="1:9" x14ac:dyDescent="0.25">
      <c r="A18" s="1"/>
      <c r="B18" s="92" t="s">
        <v>102</v>
      </c>
      <c r="C18" s="93"/>
      <c r="D18" s="94"/>
      <c r="E18" s="11">
        <v>741639.53137233853</v>
      </c>
      <c r="F18" s="22" t="s">
        <v>3</v>
      </c>
      <c r="G18" s="14"/>
      <c r="H18" s="28"/>
      <c r="I18" s="1"/>
    </row>
    <row r="19" spans="1:9" x14ac:dyDescent="0.25">
      <c r="A19" s="1"/>
      <c r="B19" s="104" t="s">
        <v>105</v>
      </c>
      <c r="C19" s="105"/>
      <c r="D19" s="106"/>
      <c r="E19" s="17">
        <f>SUM(E17:E18)</f>
        <v>-1115740.2601609952</v>
      </c>
      <c r="F19" s="25" t="s">
        <v>3</v>
      </c>
      <c r="G19" s="17">
        <f>E19</f>
        <v>-1115740.2601609952</v>
      </c>
      <c r="H19" s="25" t="s">
        <v>3</v>
      </c>
      <c r="I19" s="1"/>
    </row>
    <row r="20" spans="1:9" x14ac:dyDescent="0.25">
      <c r="A20" s="1"/>
      <c r="B20" s="104" t="s">
        <v>106</v>
      </c>
      <c r="C20" s="105"/>
      <c r="D20" s="106"/>
      <c r="E20" s="17">
        <f>SUM(E17:E18)*(1+Prisudvikling2018)</f>
        <v>-1135265.7147138126</v>
      </c>
      <c r="F20" s="25" t="s">
        <v>3</v>
      </c>
      <c r="G20" s="17">
        <f>E20</f>
        <v>-1135265.7147138126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5" t="s">
        <v>103</v>
      </c>
      <c r="C24" s="96"/>
      <c r="D24" s="96"/>
      <c r="E24" s="96"/>
      <c r="F24" s="96"/>
      <c r="G24" s="96"/>
      <c r="H24" s="97"/>
      <c r="I24" s="1"/>
    </row>
    <row r="25" spans="1:9" x14ac:dyDescent="0.25">
      <c r="A25" s="1"/>
      <c r="B25" s="110" t="s">
        <v>109</v>
      </c>
      <c r="C25" s="111"/>
      <c r="D25" s="112"/>
      <c r="E25" s="11">
        <f>IF(E12&lt;0,E20+E12,IF(E20+E12&lt;0,E20+E12,IF(E20&lt;0,0,E20)))</f>
        <v>-299793.54188880394</v>
      </c>
      <c r="F25" s="22" t="s">
        <v>3</v>
      </c>
      <c r="G25" s="14"/>
      <c r="H25" s="28"/>
      <c r="I25" s="1"/>
    </row>
    <row r="26" spans="1:9" x14ac:dyDescent="0.25">
      <c r="A26" s="1"/>
      <c r="B26" s="110" t="s">
        <v>100</v>
      </c>
      <c r="C26" s="111"/>
      <c r="D26" s="112"/>
      <c r="E26" s="11">
        <v>2</v>
      </c>
      <c r="F26" s="22" t="s">
        <v>43</v>
      </c>
      <c r="G26" s="14"/>
      <c r="H26" s="28"/>
      <c r="I26" s="1"/>
    </row>
    <row r="27" spans="1:9" x14ac:dyDescent="0.25">
      <c r="A27" s="1"/>
      <c r="B27" s="110" t="s">
        <v>111</v>
      </c>
      <c r="C27" s="111"/>
      <c r="D27" s="112"/>
      <c r="E27" s="11">
        <f>E25/E26</f>
        <v>-149896.77094440197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7" t="s">
        <v>108</v>
      </c>
      <c r="C28" s="108"/>
      <c r="D28" s="109"/>
      <c r="E28" s="11">
        <f>IF(E20+E12&gt;0,E12-(E25-E20),0)</f>
        <v>0</v>
      </c>
      <c r="F28" s="22" t="s">
        <v>3</v>
      </c>
      <c r="G28" s="14"/>
      <c r="H28" s="28"/>
      <c r="I28" s="1"/>
    </row>
    <row r="29" spans="1:9" x14ac:dyDescent="0.25">
      <c r="A29" s="1"/>
      <c r="B29" s="95" t="s">
        <v>110</v>
      </c>
      <c r="C29" s="96"/>
      <c r="D29" s="96"/>
      <c r="E29" s="96"/>
      <c r="F29" s="97"/>
      <c r="G29" s="20">
        <f>E27</f>
        <v>-149896.77094440197</v>
      </c>
      <c r="H29" s="21" t="s">
        <v>3</v>
      </c>
      <c r="I29" s="1"/>
    </row>
    <row r="30" spans="1:9" x14ac:dyDescent="0.25">
      <c r="A30" s="1"/>
      <c r="B30" s="95" t="s">
        <v>112</v>
      </c>
      <c r="C30" s="96"/>
      <c r="D30" s="96"/>
      <c r="E30" s="96"/>
      <c r="F30" s="97"/>
      <c r="G30" s="20">
        <f>G29*(1+Prisudvikling2019)^2</f>
        <v>-155006.09381907215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:H4"/>
    <mergeCell ref="B8:H8"/>
    <mergeCell ref="B9:D9"/>
    <mergeCell ref="B10:D10"/>
    <mergeCell ref="B11:D11"/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142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143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ht="26.25" x14ac:dyDescent="0.25">
      <c r="A10" s="1"/>
      <c r="B10" s="64" t="s">
        <v>155</v>
      </c>
      <c r="C10" s="65">
        <v>75</v>
      </c>
      <c r="D10" s="11">
        <v>1948828.95</v>
      </c>
      <c r="E10" s="11">
        <f>D10/C10</f>
        <v>25984.385999999999</v>
      </c>
      <c r="F10" s="11">
        <v>0</v>
      </c>
      <c r="G10" s="11">
        <v>65529.37</v>
      </c>
      <c r="H10" s="22" t="s">
        <v>3</v>
      </c>
      <c r="I10" s="1"/>
    </row>
    <row r="11" spans="1:9" ht="26.25" x14ac:dyDescent="0.25">
      <c r="A11" s="1"/>
      <c r="B11" s="64" t="s">
        <v>156</v>
      </c>
      <c r="C11" s="65">
        <v>75</v>
      </c>
      <c r="D11" s="11">
        <v>487207.24</v>
      </c>
      <c r="E11" s="11">
        <f t="shared" ref="E11:E12" si="0">D11/C11</f>
        <v>6496.0965333333334</v>
      </c>
      <c r="F11" s="11">
        <v>0</v>
      </c>
      <c r="G11" s="11">
        <v>16382.34</v>
      </c>
      <c r="H11" s="22" t="s">
        <v>3</v>
      </c>
      <c r="I11" s="1"/>
    </row>
    <row r="12" spans="1:9" ht="39" x14ac:dyDescent="0.25">
      <c r="A12" s="1"/>
      <c r="B12" s="64" t="s">
        <v>157</v>
      </c>
      <c r="C12" s="65">
        <v>10</v>
      </c>
      <c r="D12" s="11">
        <v>4189276.36</v>
      </c>
      <c r="E12" s="11">
        <f t="shared" si="0"/>
        <v>418927.636</v>
      </c>
      <c r="F12" s="11">
        <v>0</v>
      </c>
      <c r="G12" s="11">
        <v>140864.42000000001</v>
      </c>
      <c r="H12" s="22" t="s">
        <v>3</v>
      </c>
      <c r="I12" s="1"/>
    </row>
    <row r="13" spans="1:9" x14ac:dyDescent="0.25">
      <c r="A13" s="1"/>
      <c r="B13" s="95" t="s">
        <v>144</v>
      </c>
      <c r="C13" s="96"/>
      <c r="D13" s="97"/>
      <c r="E13" s="20">
        <f>SUM(E10:E12)</f>
        <v>451408.11853333336</v>
      </c>
      <c r="F13" s="20">
        <f t="shared" ref="F13:G13" si="1">SUM(F10:F12)</f>
        <v>0</v>
      </c>
      <c r="G13" s="20">
        <f t="shared" si="1"/>
        <v>222776.13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3">
    <mergeCell ref="B3:H4"/>
    <mergeCell ref="B13:D13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44</v>
      </c>
      <c r="C3" s="88"/>
      <c r="D3" s="88"/>
      <c r="E3" s="88"/>
      <c r="F3" s="88"/>
      <c r="G3" s="88"/>
      <c r="H3" s="1"/>
    </row>
    <row r="4" spans="1:8" ht="1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25">
      <c r="A10" s="1"/>
      <c r="B10" s="56" t="s">
        <v>143</v>
      </c>
      <c r="C10" s="57"/>
      <c r="D10" s="53">
        <f>'Fane 10. Anlægsprojekter'!F13</f>
        <v>0</v>
      </c>
      <c r="E10" s="22" t="s">
        <v>3</v>
      </c>
      <c r="F10" s="11">
        <f>SUM('Fane 10. Anlægsprojekter'!E13,'Fane 10. Anlægsprojekter'!G13)</f>
        <v>674184.24853333342</v>
      </c>
      <c r="G10" s="22" t="s">
        <v>3</v>
      </c>
      <c r="H10" s="1"/>
    </row>
    <row r="11" spans="1:8" x14ac:dyDescent="0.25">
      <c r="A11" s="1"/>
      <c r="B11" s="60" t="s">
        <v>154</v>
      </c>
      <c r="C11" s="61"/>
      <c r="D11" s="53">
        <v>0</v>
      </c>
      <c r="E11" s="22" t="s">
        <v>3</v>
      </c>
      <c r="F11" s="11">
        <f>1680+4237</f>
        <v>5917</v>
      </c>
      <c r="G11" s="22" t="s">
        <v>3</v>
      </c>
      <c r="H11" s="1"/>
    </row>
    <row r="12" spans="1:8" x14ac:dyDescent="0.25">
      <c r="A12" s="1"/>
      <c r="B12" s="41" t="s">
        <v>145</v>
      </c>
      <c r="C12" s="43"/>
      <c r="D12" s="20">
        <f>SUM(D10:D11)</f>
        <v>0</v>
      </c>
      <c r="E12" s="21" t="s">
        <v>3</v>
      </c>
      <c r="F12" s="20">
        <f>SUM(F10:F11)</f>
        <v>680101.24853333342</v>
      </c>
      <c r="G12" s="21" t="s">
        <v>3</v>
      </c>
      <c r="H12" s="1"/>
    </row>
    <row r="13" spans="1:8" x14ac:dyDescent="0.25">
      <c r="A13" s="1"/>
      <c r="B13" s="41" t="s">
        <v>146</v>
      </c>
      <c r="C13" s="43"/>
      <c r="D13" s="20">
        <f>D12*(1+Prisudvikling2019)</f>
        <v>0</v>
      </c>
      <c r="E13" s="21" t="s">
        <v>3</v>
      </c>
      <c r="F13" s="20">
        <f>F12*(1+Prisudvikling2019)</f>
        <v>691594.95963354665</v>
      </c>
      <c r="G13" s="21" t="s">
        <v>3</v>
      </c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159</v>
      </c>
      <c r="C3" s="90"/>
      <c r="D3" s="90"/>
      <c r="E3" s="90"/>
      <c r="F3" s="90"/>
      <c r="G3" s="90"/>
      <c r="H3" s="1"/>
    </row>
    <row r="4" spans="1:8" ht="25.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25">
      <c r="A10" s="1"/>
      <c r="B10" s="56" t="s">
        <v>153</v>
      </c>
      <c r="C10" s="66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160</v>
      </c>
      <c r="C3" s="90"/>
      <c r="D3" s="90"/>
      <c r="E3" s="90"/>
      <c r="F3" s="90"/>
      <c r="G3" s="1"/>
      <c r="H3" s="1"/>
    </row>
    <row r="4" spans="1:8" ht="25.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47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56</v>
      </c>
      <c r="C9" s="7">
        <f>'Fane 3. Omkostninger i ØR2018'!G11</f>
        <v>26393768.803584933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73</v>
      </c>
      <c r="C10" s="7">
        <f>'Fane 4. Korrigeret grundlag'!F22</f>
        <v>0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72</v>
      </c>
      <c r="C11" s="7">
        <f>'Fane 4. Korrigeret grundlag'!F23</f>
        <v>252101.71346938334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3" t="s">
        <v>77</v>
      </c>
      <c r="C12" s="7">
        <f>'Fane 11. Tillæg'!D13</f>
        <v>0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3" t="s">
        <v>76</v>
      </c>
      <c r="C13" s="11">
        <f>'Fane 11. Tillæg'!F13</f>
        <v>691594.95963354665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3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3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3" t="s">
        <v>42</v>
      </c>
      <c r="C16" s="11">
        <f>SUM(C9:C15)*Prisudvikling2019</f>
        <v>462003.16655602487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3" t="s">
        <v>14</v>
      </c>
      <c r="C17" s="11">
        <f>-SUM(C9:C16)*'Fane 6. Individuelt eff. krav'!G9</f>
        <v>-555989.37286487769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3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-294981.11785040959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3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-116914.50987512535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2" t="s">
        <v>46</v>
      </c>
      <c r="C20" s="17">
        <f>SUM(C9:C19)</f>
        <v>26831583.642653476</v>
      </c>
      <c r="D20" s="18" t="s">
        <v>3</v>
      </c>
      <c r="E20" s="17">
        <f>C20</f>
        <v>26831583.642653476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omk.'!E15</f>
        <v>23832359.066119943</v>
      </c>
      <c r="D22" s="18" t="s">
        <v>3</v>
      </c>
      <c r="E22" s="17">
        <f>C22</f>
        <v>23832359.066119943</v>
      </c>
      <c r="F22" s="18" t="s">
        <v>3</v>
      </c>
      <c r="G22" s="1"/>
    </row>
    <row r="23" spans="1:7" ht="15" customHeight="1" x14ac:dyDescent="0.25">
      <c r="A23" s="1"/>
      <c r="B23" s="41" t="s">
        <v>84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57</v>
      </c>
      <c r="C24" s="17">
        <v>121823.54390718412</v>
      </c>
      <c r="D24" s="18" t="s">
        <v>3</v>
      </c>
      <c r="E24" s="17">
        <f>C24</f>
        <v>121823.54390718412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underdæk'!G13</f>
        <v>-188237.5</v>
      </c>
      <c r="D26" s="18" t="s">
        <v>3</v>
      </c>
      <c r="E26" s="17">
        <f>C26</f>
        <v>-188237.5</v>
      </c>
      <c r="F26" s="18" t="s">
        <v>3</v>
      </c>
      <c r="G26" s="1"/>
    </row>
    <row r="27" spans="1:7" x14ac:dyDescent="0.25">
      <c r="A27" s="1"/>
      <c r="B27" s="41" t="s">
        <v>109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113</v>
      </c>
      <c r="C28" s="17">
        <f>'Fane 9. Kontrol af ØR2017'!G30</f>
        <v>-155006.09381907215</v>
      </c>
      <c r="D28" s="18" t="s">
        <v>3</v>
      </c>
      <c r="E28" s="17">
        <f>C28</f>
        <v>-155006.09381907215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50442522.658861525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48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59</v>
      </c>
      <c r="C9" s="7">
        <f>'Fane 2.1. Økonomisk ramme 2019'!E20</f>
        <v>26831583.642653476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453453.76356084371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-545700.74812428642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70</v>
      </c>
      <c r="C12" s="11">
        <f>('Fane 2.1. Økonomisk ramme 2019'!C18/GenereltKravDrift-'Fane 2.1. Økonomisk ramme 2019'!C18)*(1+Prisudvikling2019)*GenereltKravDrift</f>
        <v>-293966.97276723984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71</v>
      </c>
      <c r="C13" s="11">
        <f>('Fane 2.1. Økonomisk ramme 2019'!C19/GenereltKravAnlæg-'Fane 2.1. Økonomisk ramme 2019'!C19)*(1+Prisudvikling2019)*GenereltKravAnlæg</f>
        <v>-117856.01891571442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26327513.666407079</v>
      </c>
      <c r="D14" s="18" t="s">
        <v>3</v>
      </c>
      <c r="E14" s="17">
        <f>C14</f>
        <v>26327513.666407079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omk.'!E15*(1+Prisudvikling2019)</f>
        <v>24235125.934337366</v>
      </c>
      <c r="D16" s="18" t="s">
        <v>3</v>
      </c>
      <c r="E16" s="17">
        <f>C16</f>
        <v>24235125.934337366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-188237.5</v>
      </c>
      <c r="D18" s="18" t="s">
        <v>3</v>
      </c>
      <c r="E18" s="17">
        <f>C18</f>
        <v>-188237.5</v>
      </c>
      <c r="F18" s="18" t="s">
        <v>3</v>
      </c>
      <c r="G18" s="1"/>
    </row>
    <row r="19" spans="1:7" x14ac:dyDescent="0.2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113</v>
      </c>
      <c r="C20" s="17">
        <f>'Fane 2.1. Økonomisk ramme 2019'!C28*(1+Prisudvikling2019)</f>
        <v>-157625.69680461445</v>
      </c>
      <c r="D20" s="18" t="s">
        <v>3</v>
      </c>
      <c r="E20" s="17">
        <f>C20</f>
        <v>-157625.69680461445</v>
      </c>
      <c r="F20" s="18" t="s">
        <v>3</v>
      </c>
      <c r="G20" s="1"/>
    </row>
    <row r="21" spans="1:7" x14ac:dyDescent="0.25">
      <c r="A21" s="1"/>
      <c r="B21" s="41" t="s">
        <v>60</v>
      </c>
      <c r="C21" s="42"/>
      <c r="D21" s="43"/>
      <c r="E21" s="20">
        <f>SUM(E14,E16,E18,E20:E20)</f>
        <v>50216776.403939828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114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89" t="s">
        <v>49</v>
      </c>
      <c r="C5" s="89"/>
      <c r="D5" s="89"/>
      <c r="E5" s="89"/>
      <c r="F5" s="8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61</v>
      </c>
      <c r="C8" s="7">
        <f>'Fane 2.2. Økonomisk ramme 2020'!E14</f>
        <v>26327513.666407079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444934.9809622796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-535448.97294738714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2.2. Økonomisk ramme 2020'!C12/GenereltKravDrift-'Fane 2.2. Økonomisk ramme 2020'!C12)*(1+Prisudvikling2019)*GenereltKravDrift</f>
        <v>-292956.31431486609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2.2. Økonomisk ramme 2020'!C13/GenereltKravAnlæg-'Fane 2.2. Økonomisk ramme 2020'!C13)*(1+Prisudvikling2019)*GenereltKravAnlæg</f>
        <v>-118805.10990036209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25825238.250206742</v>
      </c>
      <c r="D13" s="18" t="s">
        <v>3</v>
      </c>
      <c r="E13" s="17">
        <f>C13</f>
        <v>25825238.250206742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omk.'!E15*(1+Prisudvikling2019)^2</f>
        <v>24644699.562627666</v>
      </c>
      <c r="D15" s="18" t="s">
        <v>3</v>
      </c>
      <c r="E15" s="17">
        <f>C15</f>
        <v>24644699.562627666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50469937.812834412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115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89" t="s">
        <v>49</v>
      </c>
      <c r="C5" s="89"/>
      <c r="D5" s="89"/>
      <c r="E5" s="89"/>
      <c r="F5" s="8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67</v>
      </c>
      <c r="C8" s="7">
        <f>'Fane 2.3. Økonomisk ramme 2021'!E13</f>
        <v>25825238.250206742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436446.5264284939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-525233.6955327047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2.3. Økonomisk ramme 2021'!C11/GenereltKravDrift-'Fane 2.3. Økonomisk ramme 2021'!C11)*(1+Prisudvikling2019)*GenereltKravDrift</f>
        <v>-291949.13050625153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2.3. Økonomisk ramme 2021'!C12/GenereltKravAnlæg-'Fane 2.3. Økonomisk ramme 2021'!C12)*(1+Prisudvikling2019)*GenereltKravAnlæg</f>
        <v>-119761.84388623638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25324740.106710043</v>
      </c>
      <c r="D13" s="18" t="s">
        <v>3</v>
      </c>
      <c r="E13" s="17">
        <f>C13</f>
        <v>25324740.106710043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omk.'!E15*(1+Prisudvikling2019)^3</f>
        <v>25061194.985236071</v>
      </c>
      <c r="D15" s="18" t="s">
        <v>3</v>
      </c>
      <c r="E15" s="17">
        <f>C15</f>
        <v>25061194.985236071</v>
      </c>
      <c r="F15" s="18" t="s">
        <v>3</v>
      </c>
      <c r="G15" s="1"/>
    </row>
    <row r="16" spans="1:7" x14ac:dyDescent="0.25">
      <c r="A16" s="1"/>
      <c r="B16" s="41" t="s">
        <v>83</v>
      </c>
      <c r="C16" s="42"/>
      <c r="D16" s="43"/>
      <c r="E16" s="20">
        <f>SUM(E13,E15)</f>
        <v>50385935.09194611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116</v>
      </c>
      <c r="C3" s="90"/>
      <c r="D3" s="90"/>
      <c r="E3" s="90"/>
      <c r="F3" s="90"/>
      <c r="G3" s="90"/>
      <c r="H3" s="90"/>
      <c r="I3" s="1"/>
    </row>
    <row r="4" spans="1:9" ht="29.2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50673525.312314659</v>
      </c>
      <c r="H9" s="22" t="s">
        <v>3</v>
      </c>
      <c r="I9" s="1"/>
    </row>
    <row r="10" spans="1:9" x14ac:dyDescent="0.25">
      <c r="A10" s="1"/>
      <c r="B10" s="50" t="s">
        <v>55</v>
      </c>
      <c r="C10" s="48"/>
      <c r="D10" s="48"/>
      <c r="E10" s="48"/>
      <c r="F10" s="49"/>
      <c r="G10" s="11">
        <v>24279756.508729726</v>
      </c>
      <c r="H10" s="22" t="s">
        <v>3</v>
      </c>
      <c r="I10" s="1"/>
    </row>
    <row r="11" spans="1:9" ht="15" customHeight="1" x14ac:dyDescent="0.25">
      <c r="A11" s="1"/>
      <c r="B11" s="41" t="s">
        <v>56</v>
      </c>
      <c r="C11" s="51"/>
      <c r="D11" s="51"/>
      <c r="E11" s="51"/>
      <c r="F11" s="52"/>
      <c r="G11" s="33">
        <f>G9-G10</f>
        <v>26393768.803584933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133</v>
      </c>
      <c r="C3" s="90"/>
      <c r="D3" s="90"/>
      <c r="E3" s="90"/>
      <c r="F3" s="90"/>
      <c r="G3" s="90"/>
      <c r="H3" s="1"/>
      <c r="I3" s="1"/>
    </row>
    <row r="4" spans="1:9" ht="29.25" customHeight="1" x14ac:dyDescent="0.25">
      <c r="A4" s="1"/>
      <c r="B4" s="90"/>
      <c r="C4" s="90"/>
      <c r="D4" s="90"/>
      <c r="E4" s="90"/>
      <c r="F4" s="90"/>
      <c r="G4" s="90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62</v>
      </c>
      <c r="C8" s="96"/>
      <c r="D8" s="96"/>
      <c r="E8" s="96"/>
      <c r="F8" s="96"/>
      <c r="G8" s="97"/>
      <c r="H8" s="1"/>
      <c r="I8" s="1"/>
    </row>
    <row r="9" spans="1:9" x14ac:dyDescent="0.25">
      <c r="A9" s="1"/>
      <c r="B9" s="92" t="s">
        <v>63</v>
      </c>
      <c r="C9" s="93"/>
      <c r="D9" s="93"/>
      <c r="E9" s="94"/>
      <c r="F9" s="11">
        <v>14912587.767634995</v>
      </c>
      <c r="G9" s="22" t="s">
        <v>3</v>
      </c>
      <c r="H9" s="1"/>
      <c r="I9" s="1"/>
    </row>
    <row r="10" spans="1:9" x14ac:dyDescent="0.25">
      <c r="A10" s="1"/>
      <c r="B10" s="92" t="s">
        <v>64</v>
      </c>
      <c r="C10" s="93"/>
      <c r="D10" s="93"/>
      <c r="E10" s="94"/>
      <c r="F10" s="11">
        <v>12341111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5" t="s">
        <v>69</v>
      </c>
      <c r="C14" s="96"/>
      <c r="D14" s="96"/>
      <c r="E14" s="96"/>
      <c r="F14" s="96"/>
      <c r="G14" s="97"/>
      <c r="H14" s="1"/>
      <c r="I14" s="1"/>
    </row>
    <row r="15" spans="1:9" x14ac:dyDescent="0.25">
      <c r="A15" s="1"/>
      <c r="B15" s="92" t="s">
        <v>37</v>
      </c>
      <c r="C15" s="93"/>
      <c r="D15" s="93"/>
      <c r="E15" s="94"/>
      <c r="F15" s="11">
        <v>14912587.767634995</v>
      </c>
      <c r="G15" s="22" t="s">
        <v>3</v>
      </c>
      <c r="H15" s="1"/>
      <c r="I15" s="1"/>
    </row>
    <row r="16" spans="1:9" x14ac:dyDescent="0.25">
      <c r="A16" s="1"/>
      <c r="B16" s="92" t="s">
        <v>38</v>
      </c>
      <c r="C16" s="93"/>
      <c r="D16" s="93"/>
      <c r="E16" s="94"/>
      <c r="F16" s="11">
        <v>12589023.000658259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5" t="s">
        <v>29</v>
      </c>
      <c r="C20" s="96"/>
      <c r="D20" s="96"/>
      <c r="E20" s="96"/>
      <c r="F20" s="96"/>
      <c r="G20" s="97"/>
      <c r="H20" s="1"/>
      <c r="I20" s="1"/>
    </row>
    <row r="21" spans="1:9" ht="15" customHeight="1" x14ac:dyDescent="0.2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25">
      <c r="A22" s="1"/>
      <c r="B22" s="98" t="s">
        <v>65</v>
      </c>
      <c r="C22" s="99"/>
      <c r="D22" s="53">
        <f>F15-F9</f>
        <v>0</v>
      </c>
      <c r="E22" s="22" t="s">
        <v>3</v>
      </c>
      <c r="F22" s="11">
        <f>D22*(1+Prisudvikling2019)</f>
        <v>0</v>
      </c>
      <c r="G22" s="22" t="s">
        <v>3</v>
      </c>
      <c r="H22" s="1"/>
      <c r="I22" s="1"/>
    </row>
    <row r="23" spans="1:9" ht="15" customHeight="1" x14ac:dyDescent="0.25">
      <c r="A23" s="1"/>
      <c r="B23" s="98" t="s">
        <v>66</v>
      </c>
      <c r="C23" s="99"/>
      <c r="D23" s="53">
        <f>F16-F10</f>
        <v>247912.0006582588</v>
      </c>
      <c r="E23" s="22" t="s">
        <v>3</v>
      </c>
      <c r="F23" s="11">
        <f>D23*(1+Prisudvikling2019)</f>
        <v>252101.71346938334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91" t="s">
        <v>97</v>
      </c>
      <c r="C26" s="91"/>
      <c r="D26" s="91"/>
      <c r="E26" s="91"/>
      <c r="F26" s="91"/>
      <c r="G26" s="91"/>
      <c r="H26" s="1"/>
      <c r="I26" s="1"/>
    </row>
    <row r="27" spans="1:9" ht="27.75" customHeight="1" x14ac:dyDescent="0.25">
      <c r="A27" s="1"/>
      <c r="B27" s="91" t="s">
        <v>139</v>
      </c>
      <c r="C27" s="91"/>
      <c r="D27" s="91"/>
      <c r="E27" s="91"/>
      <c r="F27" s="91"/>
      <c r="G27" s="9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134</v>
      </c>
      <c r="C3" s="88"/>
      <c r="D3" s="88"/>
      <c r="E3" s="88"/>
      <c r="F3" s="88"/>
      <c r="G3" s="1"/>
      <c r="H3" s="1"/>
    </row>
    <row r="4" spans="1:8" ht="1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5" t="s">
        <v>68</v>
      </c>
      <c r="C8" s="96"/>
      <c r="D8" s="96"/>
      <c r="E8" s="96"/>
      <c r="F8" s="97"/>
      <c r="G8" s="1"/>
      <c r="H8" s="1"/>
    </row>
    <row r="9" spans="1:8" ht="15" customHeight="1" x14ac:dyDescent="0.2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25">
      <c r="A10" s="1"/>
      <c r="B10" s="44" t="s">
        <v>158</v>
      </c>
      <c r="C10" s="48"/>
      <c r="D10" s="49"/>
      <c r="E10" s="11">
        <v>17295994</v>
      </c>
      <c r="F10" s="22" t="s">
        <v>3</v>
      </c>
      <c r="G10" s="1"/>
      <c r="H10" s="1"/>
    </row>
    <row r="11" spans="1:8" x14ac:dyDescent="0.25">
      <c r="A11" s="1"/>
      <c r="B11" s="44" t="s">
        <v>150</v>
      </c>
      <c r="C11" s="48"/>
      <c r="D11" s="49"/>
      <c r="E11" s="11">
        <v>59572</v>
      </c>
      <c r="F11" s="22" t="s">
        <v>3</v>
      </c>
      <c r="G11" s="1"/>
      <c r="H11" s="1"/>
    </row>
    <row r="12" spans="1:8" ht="26.25" x14ac:dyDescent="0.25">
      <c r="A12" s="1"/>
      <c r="B12" s="44" t="s">
        <v>151</v>
      </c>
      <c r="C12" s="48"/>
      <c r="D12" s="49"/>
      <c r="E12" s="11">
        <v>5130878</v>
      </c>
      <c r="F12" s="22" t="s">
        <v>3</v>
      </c>
      <c r="G12" s="1"/>
      <c r="H12" s="1"/>
    </row>
    <row r="13" spans="1:8" x14ac:dyDescent="0.25">
      <c r="A13" s="1"/>
      <c r="B13" s="44" t="s">
        <v>152</v>
      </c>
      <c r="C13" s="48"/>
      <c r="D13" s="49"/>
      <c r="E13" s="11">
        <v>560351</v>
      </c>
      <c r="F13" s="22" t="s">
        <v>3</v>
      </c>
      <c r="G13" s="1"/>
      <c r="H13" s="1"/>
    </row>
    <row r="14" spans="1:8" x14ac:dyDescent="0.25">
      <c r="A14" s="1"/>
      <c r="B14" s="41" t="s">
        <v>140</v>
      </c>
      <c r="C14" s="42"/>
      <c r="D14" s="43"/>
      <c r="E14" s="20">
        <f>SUM(E10:E13)</f>
        <v>23046795</v>
      </c>
      <c r="F14" s="21" t="s">
        <v>3</v>
      </c>
      <c r="G14" s="1"/>
      <c r="H14" s="1"/>
    </row>
    <row r="15" spans="1:8" x14ac:dyDescent="0.25">
      <c r="A15" s="1"/>
      <c r="B15" s="41" t="s">
        <v>141</v>
      </c>
      <c r="C15" s="42"/>
      <c r="D15" s="43"/>
      <c r="E15" s="20">
        <f>E14*(1+Prisudvikling2019)^2</f>
        <v>23832359.066119943</v>
      </c>
      <c r="F15" s="21" t="s">
        <v>3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117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14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2" t="s">
        <v>14</v>
      </c>
      <c r="C9" s="93"/>
      <c r="D9" s="93"/>
      <c r="E9" s="93"/>
      <c r="F9" s="94"/>
      <c r="G9" s="54">
        <v>0.02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100" t="s">
        <v>80</v>
      </c>
      <c r="C12" s="100"/>
      <c r="D12" s="100"/>
      <c r="E12" s="100"/>
      <c r="F12" s="100"/>
      <c r="G12" s="100"/>
      <c r="H12" s="100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2018-10-11T08:42:40Z</dcterms:modified>
</cp:coreProperties>
</file>