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2" i="23" l="1"/>
  <c r="C23" i="22"/>
  <c r="C10" i="23" l="1"/>
  <c r="C11" i="22"/>
  <c r="C11" i="15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G11" i="11" l="1"/>
  <c r="F11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C20" i="22"/>
  <c r="E23" i="22" s="1"/>
  <c r="C19" i="23"/>
  <c r="C20" i="15"/>
  <c r="C23" i="15" s="1"/>
  <c r="C27" i="2" l="1"/>
  <c r="E27" i="2" s="1"/>
  <c r="E23" i="15"/>
  <c r="E22" i="23"/>
  <c r="G11" i="10"/>
  <c r="E32" i="2" l="1"/>
  <c r="G13" i="10"/>
  <c r="C25" i="15" s="1"/>
  <c r="E25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4" i="15" l="1"/>
  <c r="E14" i="15" s="1"/>
  <c r="E28" i="15" s="1"/>
  <c r="C9" i="22" l="1"/>
  <c r="C10" i="22" l="1"/>
  <c r="C14" i="22" l="1"/>
  <c r="E14" i="22" s="1"/>
  <c r="E26" i="22" s="1"/>
  <c r="C8" i="23" l="1"/>
  <c r="C9" i="23" l="1"/>
  <c r="C13" i="23" s="1"/>
  <c r="E13" i="23" s="1"/>
  <c r="E23" i="23" s="1"/>
</calcChain>
</file>

<file path=xl/sharedStrings.xml><?xml version="1.0" encoding="utf-8"?>
<sst xmlns="http://schemas.openxmlformats.org/spreadsheetml/2006/main" count="327" uniqueCount="142">
  <si>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</si>
  <si>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</si>
  <si>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</si>
  <si>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</si>
  <si>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</si>
  <si>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</si>
  <si>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</si>
  <si>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</si>
  <si>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</si>
  <si>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</si>
  <si>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</si>
  <si>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</si>
  <si>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</si>
  <si>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</si>
  <si>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</si>
  <si>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</si>
  <si>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</si>
  <si>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</si>
  <si>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</si>
  <si>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</si>
  <si>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</si>
  <si>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</si>
  <si>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</si>
  <si>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</si>
  <si>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</si>
  <si>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</si>
  <si>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</si>
  <si>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</si>
  <si>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</si>
  <si>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</si>
  <si>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</si>
  <si>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</si>
  <si>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</si>
  <si>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</si>
  <si>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</si>
  <si>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</si>
  <si>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</si>
  <si>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</si>
  <si>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</si>
  <si>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</si>
  <si>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</si>
  <si>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</si>
  <si>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</si>
  <si>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</si>
  <si>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</si>
  <si>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</si>
  <si>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</si>
  <si>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</si>
  <si>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</si>
  <si>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</si>
  <si>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</si>
  <si>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</si>
  <si>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</si>
  <si>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</si>
  <si>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</si>
  <si>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</si>
  <si>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</si>
  <si>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</si>
  <si>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</si>
  <si>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</si>
  <si>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</si>
  <si>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</si>
  <si>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</si>
  <si>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</si>
  <si>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</si>
  <si>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</si>
  <si>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</si>
  <si>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</si>
  <si>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</si>
  <si>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</si>
  <si>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</si>
  <si>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</si>
  <si>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</si>
  <si>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</si>
  <si>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</si>
  <si>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</si>
  <si>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</si>
  <si>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</si>
  <si>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</si>
  <si>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</si>
  <si>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</si>
  <si>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</si>
  <si>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</si>
  <si>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</si>
  <si>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</si>
  <si>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</si>
  <si>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</si>
  <si>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</si>
  <si>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</si>
  <si>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</si>
  <si>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</si>
  <si>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</si>
  <si>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</si>
  <si>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</si>
  <si>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</si>
  <si>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</si>
  <si>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</si>
  <si>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</si>
  <si>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</si>
  <si>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</si>
  <si>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</si>
  <si>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</si>
  <si>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</si>
  <si>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</si>
  <si>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</si>
  <si>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</si>
  <si>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</si>
  <si>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</si>
  <si>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</si>
  <si>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</si>
  <si>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</si>
  <si>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</si>
  <si>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</si>
  <si>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</si>
  <si>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</si>
  <si>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</si>
  <si>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</si>
  <si>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</si>
  <si>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</si>
  <si>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</si>
  <si>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</si>
  <si>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</si>
  <si>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</si>
  <si>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</si>
  <si>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</si>
  <si>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</si>
  <si>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</si>
  <si>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</si>
  <si>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</si>
  <si>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</si>
  <si>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</si>
  <si>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</si>
  <si>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</si>
  <si>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Ingen anlægsprojekter</t>
  </si>
  <si>
    <t>Afgift til Forsyningsekretariatet</t>
  </si>
  <si>
    <t>Køb af ydelser og produkter fra andre vandselskaber reguleret af vandsektorloven</t>
  </si>
  <si>
    <t>Selskabsskatter</t>
  </si>
  <si>
    <t>Periodevise driftsomkostninger under prisloftsbekendtgørelsen</t>
  </si>
  <si>
    <t>Ingen bortfald eller nedsættelse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</si>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</sst>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105</v>
      </c>
      <c r="C9" s="97"/>
      <c r="D9" s="98"/>
      <c r="E9" s="11">
        <v>42081085.847064793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39935912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4" t="s">
        <v>107</v>
      </c>
      <c r="C12" s="45"/>
      <c r="D12" s="46"/>
      <c r="E12" s="17">
        <f>E9-(E10-E11)</f>
        <v>2145173.8470647931</v>
      </c>
      <c r="F12" s="25" t="s">
        <v>2</v>
      </c>
      <c r="G12" s="17">
        <f>E12</f>
        <v>2145173.8470647931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15" customHeight="1" x14ac:dyDescent="0.25">
      <c r="A10" s="1"/>
      <c r="B10" s="60" t="s">
        <v>133</v>
      </c>
      <c r="C10" s="61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89" t="s">
        <v>131</v>
      </c>
      <c r="C11" s="90"/>
      <c r="D11" s="91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127</v>
      </c>
      <c r="C10" s="56"/>
      <c r="D10" s="57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140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138</v>
      </c>
      <c r="C10" s="62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141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3" t="s">
        <v>44</v>
      </c>
      <c r="C9" s="64"/>
      <c r="D9" s="64"/>
      <c r="E9" s="65"/>
      <c r="F9" s="58">
        <v>1.7500000000000002E-2</v>
      </c>
      <c r="G9" s="59"/>
      <c r="H9" s="1"/>
    </row>
    <row r="10" spans="1:8" x14ac:dyDescent="0.25">
      <c r="A10" s="1"/>
      <c r="B10" s="63" t="s">
        <v>45</v>
      </c>
      <c r="C10" s="64"/>
      <c r="D10" s="64"/>
      <c r="E10" s="65"/>
      <c r="F10" s="58">
        <v>1.6899999999999998E-2</v>
      </c>
      <c r="G10" s="59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3" t="s">
        <v>13</v>
      </c>
      <c r="C14" s="64"/>
      <c r="D14" s="64"/>
      <c r="E14" s="65"/>
      <c r="F14" s="58">
        <v>1.0872320331547234E-3</v>
      </c>
      <c r="G14" s="59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2" t="s">
        <v>49</v>
      </c>
      <c r="C9" s="7">
        <f>'Fane 3. Omkostninger i ØR2018'!G13</f>
        <v>19012453.45279954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3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3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3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3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3" t="s">
        <v>37</v>
      </c>
      <c r="C14" s="11">
        <f>C9*Prisudvikling2018+SUM(C10:C13)*Prisudvikling2019</f>
        <v>332717.93542399199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3" t="s">
        <v>13</v>
      </c>
      <c r="C15" s="11">
        <f>-SUM(C9:C14)*IndividueltKrav</f>
        <v>-21032.690020144855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3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-130827.47431901282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62</v>
      </c>
      <c r="C17" s="11">
        <f>-(('Fane 5. Generelt eff. krav'!G12-'Fane 5. Generelt eff. krav'!G11)*(1+Prisudvikling2018)*GenereltKravAnlæg2018+SUM(C11,C13)*(1+Prisudvikling2019)*GenereltKravAnlæg2019)</f>
        <v>-227006.92650731723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4" t="s">
        <v>40</v>
      </c>
      <c r="C18" s="17">
        <f>SUM(C9:C17)</f>
        <v>18966304.297377061</v>
      </c>
      <c r="D18" s="18" t="s">
        <v>2</v>
      </c>
      <c r="E18" s="17">
        <f>C18</f>
        <v>18966304.297377061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137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3" t="s">
        <v>22</v>
      </c>
      <c r="C24" s="11">
        <f>'Fane 4. Ikke-påvirkelige omk.'!E14</f>
        <v>14064643.881376836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3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3" t="s">
        <v>139</v>
      </c>
      <c r="C26" s="11">
        <v>16208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14080851.881376836</v>
      </c>
      <c r="D27" s="18" t="s">
        <v>2</v>
      </c>
      <c r="E27" s="17">
        <f>C27</f>
        <v>14080851.881376836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2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2" t="s">
        <v>51</v>
      </c>
      <c r="C30" s="7">
        <v>-11589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3" t="s">
        <v>52</v>
      </c>
      <c r="C31" s="7">
        <v>86148.18711131427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4" t="s">
        <v>53</v>
      </c>
      <c r="C32" s="17">
        <f>SUM(C29:C31)</f>
        <v>74559.18711131427</v>
      </c>
      <c r="D32" s="18" t="s">
        <v>2</v>
      </c>
      <c r="E32" s="17">
        <f>C32</f>
        <v>74559.18711131427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4" t="s">
        <v>24</v>
      </c>
      <c r="C34" s="17">
        <f>'Fane 6. Hist. over el. underdæk'!G13</f>
        <v>0</v>
      </c>
      <c r="D34" s="18" t="s">
        <v>2</v>
      </c>
      <c r="E34" s="17">
        <f>C34</f>
        <v>0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33121715.365865212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2" t="s">
        <v>55</v>
      </c>
      <c r="C9" s="7">
        <f>'Fane 2.1. Økonomisk ramme 2019'!E18</f>
        <v>18966304.297377061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SUM(C9:C9)*Prisudvikling2019</f>
        <v>320530.5426256723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-20969.264656215528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('Fane 2.1. Økonomisk ramme 2019'!C16/GenereltKravDrift2018-'Fane 2.1. Økonomisk ramme 2019'!C16)*(1+Prisudvikling2019)*GenereltKravDrift2019</f>
        <v>-130377.68946230404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3" t="s">
        <v>62</v>
      </c>
      <c r="C13" s="11">
        <f>(('Fane 2.1. Økonomisk ramme 2019'!C17/GenereltKravAnlæg2018-'Fane 2.1. Økonomisk ramme 2019'!C17)*(1+Prisudvikling2019)*GenereltKravAnlæg2019)</f>
        <v>-111457.03517188765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4" t="s">
        <v>40</v>
      </c>
      <c r="C14" s="17">
        <f>SUM(C9:C13)</f>
        <v>19024030.850712325</v>
      </c>
      <c r="D14" s="18" t="s">
        <v>2</v>
      </c>
      <c r="E14" s="17">
        <f>C14</f>
        <v>19024030.850712325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3" t="s">
        <v>137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3" t="s">
        <v>22</v>
      </c>
      <c r="C20" s="11">
        <f>'Fane 4. Ikke-påvirkelige omk.'!E14*(1+Prisudvikling2019)</f>
        <v>14302336.362972103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3" t="s">
        <v>139</v>
      </c>
      <c r="C22" s="11">
        <v>16251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14318587.362972103</v>
      </c>
      <c r="D23" s="18" t="s">
        <v>2</v>
      </c>
      <c r="E23" s="17">
        <f>C23</f>
        <v>14318587.362972103</v>
      </c>
      <c r="F23" s="18" t="s">
        <v>2</v>
      </c>
      <c r="G23" s="1"/>
    </row>
    <row r="24" spans="1:7" x14ac:dyDescent="0.25">
      <c r="A24" s="1"/>
      <c r="B24" s="89" t="s">
        <v>15</v>
      </c>
      <c r="C24" s="90"/>
      <c r="D24" s="90"/>
      <c r="E24" s="90"/>
      <c r="F24" s="91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33342618.213684428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2" t="s">
        <v>57</v>
      </c>
      <c r="C9" s="7">
        <f>'Fane 2.2. Økonomisk ramme 2020'!E14</f>
        <v>19024030.850712325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C9*Prisudvikling2019</f>
        <v>321506.12137703825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-21033.08749463459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(('Fane 2.2. Økonomisk ramme 2020'!C12/GenereltKravDrift2019-'Fane 2.2. Økonomisk ramme 2020'!C12)*(1+Prisudvikling2019)*GenereltKravDrift2019)</f>
        <v>-129929.45096593263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3" t="s">
        <v>62</v>
      </c>
      <c r="C13" s="11">
        <f>(('Fane 2.2. Økonomisk ramme 2020'!C13/GenereltKravAnlæg2019-'Fane 2.2. Økonomisk ramme 2020'!C13)*(1+Prisudvikling2019)*GenereltKravAnlæg2019)</f>
        <v>-112354.5953324158</v>
      </c>
      <c r="D13" s="8" t="s">
        <v>2</v>
      </c>
      <c r="E13" s="15"/>
      <c r="F13" s="16"/>
      <c r="G13" s="1"/>
    </row>
    <row r="14" spans="1:7" x14ac:dyDescent="0.25">
      <c r="A14" s="1"/>
      <c r="B14" s="44" t="s">
        <v>40</v>
      </c>
      <c r="C14" s="17">
        <f>SUM(C9:C13)</f>
        <v>19082219.83829638</v>
      </c>
      <c r="D14" s="18" t="s">
        <v>2</v>
      </c>
      <c r="E14" s="17">
        <f>C14</f>
        <v>19082219.83829638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3" t="s">
        <v>137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22</v>
      </c>
      <c r="C20" s="11">
        <f>'Fane 4. Ikke-påvirkelige omk.'!E14*(1+Prisudvikling2019)^2</f>
        <v>14544045.847506329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3" t="s">
        <v>139</v>
      </c>
      <c r="C22" s="11">
        <v>16294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14560339.847506329</v>
      </c>
      <c r="D23" s="18" t="s">
        <v>2</v>
      </c>
      <c r="E23" s="17">
        <f>C23</f>
        <v>14560339.847506329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33642559.685802713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2" t="s">
        <v>58</v>
      </c>
      <c r="C8" s="7">
        <f>'Fane 2.3. Økonomisk ramme 2021'!E14</f>
        <v>19082219.83829638</v>
      </c>
      <c r="D8" s="8" t="s">
        <v>2</v>
      </c>
      <c r="E8" s="9"/>
      <c r="F8" s="10"/>
      <c r="G8" s="1"/>
    </row>
    <row r="9" spans="1:7" ht="15" customHeight="1" x14ac:dyDescent="0.25">
      <c r="A9" s="1"/>
      <c r="B9" s="43" t="s">
        <v>37</v>
      </c>
      <c r="C9" s="11">
        <f>C8*Prisudvikling2019</f>
        <v>322489.5152672088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3" t="s">
        <v>13</v>
      </c>
      <c r="C10" s="11">
        <f>-SUM(C8:C9)*IndividueltKrav</f>
        <v>-21097.421603251416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61</v>
      </c>
      <c r="C11" s="11">
        <f>('Fane 2.3. Økonomisk ramme 2021'!C12/GenereltKravDrift2019-'Fane 2.3. Økonomisk ramme 2021'!C12)*(1+Prisudvikling2019)*GenereltKravDrift2019</f>
        <v>-129482.75351351174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3" t="s">
        <v>62</v>
      </c>
      <c r="C12" s="11">
        <f>('Fane 2.3. Økonomisk ramme 2021'!C13/GenereltKravAnlæg2019-'Fane 2.3. Økonomisk ramme 2021'!C13)*(1+Prisudvikling2019)*GenereltKravAnlæg2019</f>
        <v>-113259.38351798989</v>
      </c>
      <c r="D12" s="8" t="s">
        <v>2</v>
      </c>
      <c r="E12" s="15"/>
      <c r="F12" s="16"/>
      <c r="G12" s="1"/>
    </row>
    <row r="13" spans="1:7" x14ac:dyDescent="0.25">
      <c r="A13" s="1"/>
      <c r="B13" s="44" t="s">
        <v>40</v>
      </c>
      <c r="C13" s="17">
        <f>SUM(C8:C12)</f>
        <v>19140869.794928834</v>
      </c>
      <c r="D13" s="18" t="s">
        <v>2</v>
      </c>
      <c r="E13" s="17">
        <f>C13</f>
        <v>19140869.794928834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3" t="s">
        <v>137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3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3" t="s">
        <v>22</v>
      </c>
      <c r="C19" s="11">
        <f>'Fane 4. Ikke-påvirkelige omk.'!E14*(1+Prisudvikling2019)^3</f>
        <v>14789840.222329184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3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3" t="s">
        <v>139</v>
      </c>
      <c r="C21" s="11">
        <v>16337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14806177.222329184</v>
      </c>
      <c r="D22" s="18" t="s">
        <v>2</v>
      </c>
      <c r="E22" s="17">
        <f>C22</f>
        <v>14806177.222329184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33947047.017258018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32</v>
      </c>
      <c r="C9" s="64"/>
      <c r="D9" s="64"/>
      <c r="E9" s="64"/>
      <c r="F9" s="65"/>
      <c r="G9" s="11">
        <v>30807448.322042674</v>
      </c>
      <c r="H9" s="22" t="s">
        <v>2</v>
      </c>
      <c r="I9" s="1"/>
    </row>
    <row r="10" spans="1:9" x14ac:dyDescent="0.25">
      <c r="A10" s="1"/>
      <c r="B10" s="47" t="s">
        <v>73</v>
      </c>
      <c r="C10" s="64"/>
      <c r="D10" s="64"/>
      <c r="E10" s="64"/>
      <c r="F10" s="65"/>
      <c r="G10" s="11">
        <v>0</v>
      </c>
      <c r="H10" s="22" t="s">
        <v>2</v>
      </c>
      <c r="I10" s="1"/>
    </row>
    <row r="11" spans="1:9" x14ac:dyDescent="0.25">
      <c r="A11" s="1"/>
      <c r="B11" s="47" t="s">
        <v>48</v>
      </c>
      <c r="C11" s="64"/>
      <c r="D11" s="64"/>
      <c r="E11" s="64"/>
      <c r="F11" s="65"/>
      <c r="G11" s="11">
        <v>11794994.869243134</v>
      </c>
      <c r="H11" s="22" t="s">
        <v>2</v>
      </c>
      <c r="I11" s="1"/>
    </row>
    <row r="12" spans="1:9" x14ac:dyDescent="0.25">
      <c r="A12" s="1"/>
      <c r="B12" s="47" t="s">
        <v>75</v>
      </c>
      <c r="C12" s="64"/>
      <c r="D12" s="64"/>
      <c r="E12" s="64"/>
      <c r="F12" s="65"/>
      <c r="G12" s="11">
        <v>0</v>
      </c>
      <c r="H12" s="22" t="s">
        <v>2</v>
      </c>
      <c r="I12" s="1"/>
    </row>
    <row r="13" spans="1:9" ht="26.25" customHeight="1" x14ac:dyDescent="0.25">
      <c r="A13" s="1"/>
      <c r="B13" s="48" t="s">
        <v>59</v>
      </c>
      <c r="C13" s="40"/>
      <c r="D13" s="40"/>
      <c r="E13" s="40"/>
      <c r="F13" s="41"/>
      <c r="G13" s="34">
        <f>G9-G10-G11</f>
        <v>19012453.45279954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4" t="s">
        <v>111</v>
      </c>
      <c r="C9" s="30"/>
      <c r="D9" s="37"/>
      <c r="E9" s="49" t="s">
        <v>47</v>
      </c>
      <c r="F9" s="18"/>
      <c r="G9" s="1"/>
      <c r="H9" s="1"/>
    </row>
    <row r="10" spans="1:8" x14ac:dyDescent="0.25">
      <c r="A10" s="1"/>
      <c r="B10" s="93" t="s">
        <v>134</v>
      </c>
      <c r="C10" s="94"/>
      <c r="D10" s="95"/>
      <c r="E10" s="11">
        <v>40421</v>
      </c>
      <c r="F10" s="22" t="s">
        <v>2</v>
      </c>
      <c r="G10" s="1"/>
      <c r="H10" s="1"/>
    </row>
    <row r="11" spans="1:8" x14ac:dyDescent="0.25">
      <c r="A11" s="1"/>
      <c r="B11" s="93" t="s">
        <v>135</v>
      </c>
      <c r="C11" s="94"/>
      <c r="D11" s="95"/>
      <c r="E11" s="11">
        <v>13427250</v>
      </c>
      <c r="F11" s="22" t="s">
        <v>2</v>
      </c>
      <c r="G11" s="1"/>
      <c r="H11" s="1"/>
    </row>
    <row r="12" spans="1:8" x14ac:dyDescent="0.25">
      <c r="A12" s="1"/>
      <c r="B12" s="93" t="s">
        <v>136</v>
      </c>
      <c r="C12" s="94"/>
      <c r="D12" s="95"/>
      <c r="E12" s="11">
        <v>133373</v>
      </c>
      <c r="F12" s="22" t="s">
        <v>2</v>
      </c>
      <c r="G12" s="1"/>
      <c r="H12" s="1"/>
    </row>
    <row r="13" spans="1:8" x14ac:dyDescent="0.25">
      <c r="A13" s="1"/>
      <c r="B13" s="89" t="s">
        <v>128</v>
      </c>
      <c r="C13" s="90"/>
      <c r="D13" s="91"/>
      <c r="E13" s="20">
        <f>SUM(E10:E12)</f>
        <v>13601044</v>
      </c>
      <c r="F13" s="21" t="s">
        <v>2</v>
      </c>
      <c r="G13" s="1"/>
      <c r="H13" s="1"/>
    </row>
    <row r="14" spans="1:8" x14ac:dyDescent="0.25">
      <c r="A14" s="1"/>
      <c r="B14" s="89" t="s">
        <v>129</v>
      </c>
      <c r="C14" s="90"/>
      <c r="D14" s="91"/>
      <c r="E14" s="20">
        <f>E13*(1+Prisudvikling2019)^2</f>
        <v>14064643.881376836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6">
    <mergeCell ref="B3:F4"/>
    <mergeCell ref="B13:D13"/>
    <mergeCell ref="B14:D14"/>
    <mergeCell ref="B10:D10"/>
    <mergeCell ref="B11:D11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82</v>
      </c>
      <c r="C9" s="64"/>
      <c r="D9" s="64"/>
      <c r="E9" s="64"/>
      <c r="F9" s="65"/>
      <c r="G9" s="53">
        <v>131201.39830417972</v>
      </c>
      <c r="H9" s="22" t="s">
        <v>2</v>
      </c>
      <c r="I9" s="1"/>
    </row>
    <row r="10" spans="1:9" x14ac:dyDescent="0.25">
      <c r="A10" s="1"/>
      <c r="B10" s="63" t="s">
        <v>83</v>
      </c>
      <c r="C10" s="64"/>
      <c r="D10" s="64"/>
      <c r="E10" s="64"/>
      <c r="F10" s="65"/>
      <c r="G10" s="53">
        <f>G9/GenereltKravDrift2018</f>
        <v>6560069.915208986</v>
      </c>
      <c r="H10" s="22" t="s">
        <v>2</v>
      </c>
      <c r="I10" s="1"/>
    </row>
    <row r="11" spans="1:9" x14ac:dyDescent="0.25">
      <c r="A11" s="1"/>
      <c r="B11" s="63" t="s">
        <v>84</v>
      </c>
      <c r="C11" s="64"/>
      <c r="D11" s="64"/>
      <c r="E11" s="64"/>
      <c r="F11" s="65"/>
      <c r="G11" s="53">
        <v>227122.70230481712</v>
      </c>
      <c r="H11" s="22" t="s">
        <v>2</v>
      </c>
      <c r="I11" s="1"/>
    </row>
    <row r="12" spans="1:9" x14ac:dyDescent="0.25">
      <c r="A12" s="1"/>
      <c r="B12" s="63" t="s">
        <v>85</v>
      </c>
      <c r="C12" s="64"/>
      <c r="D12" s="64"/>
      <c r="E12" s="64"/>
      <c r="F12" s="65"/>
      <c r="G12" s="53">
        <f>G11/GenereltKravAnlæg2018</f>
        <v>12831791.090667633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4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4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4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4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17</v>
      </c>
      <c r="C9" s="64"/>
      <c r="D9" s="64"/>
      <c r="E9" s="64"/>
      <c r="F9" s="65"/>
      <c r="G9" s="11">
        <v>6709107</v>
      </c>
      <c r="H9" s="22" t="s">
        <v>2</v>
      </c>
      <c r="I9" s="1"/>
    </row>
    <row r="10" spans="1:9" x14ac:dyDescent="0.25">
      <c r="A10" s="1"/>
      <c r="B10" s="63" t="s">
        <v>46</v>
      </c>
      <c r="C10" s="64"/>
      <c r="D10" s="64"/>
      <c r="E10" s="64"/>
      <c r="F10" s="65"/>
      <c r="G10" s="11">
        <v>6709107</v>
      </c>
      <c r="H10" s="22" t="s">
        <v>2</v>
      </c>
      <c r="I10" s="1"/>
    </row>
    <row r="11" spans="1:9" x14ac:dyDescent="0.25">
      <c r="A11" s="1"/>
      <c r="B11" s="50" t="s">
        <v>20</v>
      </c>
      <c r="C11" s="51"/>
      <c r="D11" s="51"/>
      <c r="E11" s="51"/>
      <c r="F11" s="52"/>
      <c r="G11" s="31">
        <f>G9-G10</f>
        <v>0</v>
      </c>
      <c r="H11" s="26" t="s">
        <v>2</v>
      </c>
      <c r="I11" s="1"/>
    </row>
    <row r="12" spans="1:9" x14ac:dyDescent="0.25">
      <c r="A12" s="1"/>
      <c r="B12" s="63" t="s">
        <v>18</v>
      </c>
      <c r="C12" s="64"/>
      <c r="D12" s="64"/>
      <c r="E12" s="64"/>
      <c r="F12" s="65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2018-10-11T13:12:36Z</dcterms:modified>
</cp:coreProperties>
</file>