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G11" i="11" l="1"/>
  <c r="F11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4" i="19"/>
  <c r="E15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E11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<sst xmlns="http://schemas.openxmlformats.org/spreadsheetml/2006/main" count="321" uniqueCount="142">
  <si>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</si>
  <si>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</si>
  <si>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</si>
  <si>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</si>
  <si>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</si>
  <si>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</si>
  <si>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</si>
  <si>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</si>
  <si>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</si>
  <si>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</si>
  <si>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</si>
  <si>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</si>
  <si>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</si>
  <si>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</si>
  <si>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</si>
  <si>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</si>
  <si>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</si>
  <si>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</si>
  <si>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</si>
  <si>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</si>
  <si>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</si>
  <si>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</si>
  <si>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</si>
  <si>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</si>
  <si>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</si>
  <si>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</si>
  <si>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</si>
  <si>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</si>
  <si>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</si>
  <si>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</si>
  <si>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</si>
  <si>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</si>
  <si>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</si>
  <si>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</si>
  <si>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</si>
  <si>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</si>
  <si>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</si>
  <si>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</si>
  <si>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</si>
  <si>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</si>
  <si>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</si>
  <si>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</si>
  <si>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</si>
  <si>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</si>
  <si>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</si>
  <si>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</si>
  <si>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</si>
  <si>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</si>
  <si>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</si>
  <si>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</si>
  <si>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</si>
  <si>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</si>
  <si>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</si>
  <si>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</si>
  <si>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</si>
  <si>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</si>
  <si>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</si>
  <si>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</si>
  <si>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</si>
  <si>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</si>
  <si>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</si>
  <si>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</si>
  <si>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</si>
  <si>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</si>
  <si>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</si>
  <si>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</si>
  <si>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</si>
  <si>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</si>
  <si>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</si>
  <si>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</si>
  <si>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</si>
  <si>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</si>
  <si>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</si>
  <si>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</si>
  <si>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</si>
  <si>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</si>
  <si>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</si>
  <si>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</si>
  <si>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</si>
  <si>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</si>
  <si>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</si>
  <si>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</si>
  <si>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</si>
  <si>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</si>
  <si>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</si>
  <si>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</si>
  <si>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</si>
  <si>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</si>
  <si>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</si>
  <si>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</si>
  <si>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</si>
  <si>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</si>
  <si>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</si>
  <si>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</si>
  <si>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</si>
  <si>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</si>
  <si>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</si>
  <si>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</si>
  <si>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</si>
  <si>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</si>
  <si>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</si>
  <si>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</si>
  <si>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</si>
  <si>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</si>
  <si>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</si>
  <si>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</si>
  <si>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</si>
  <si>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</si>
  <si>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</si>
  <si>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</si>
  <si>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</si>
  <si>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</si>
  <si>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</si>
  <si>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</si>
  <si>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</si>
  <si>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</si>
  <si>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</si>
  <si>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</si>
  <si>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</si>
  <si>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</si>
  <si>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</si>
  <si>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</si>
  <si>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</si>
  <si>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</si>
  <si>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</si>
  <si>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</si>
  <si>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</si>
  <si>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</si>
  <si>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</si>
  <si>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</si>
  <si>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</si>
  <si>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</si>
  <si>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</si>
  <si>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Ingen anlægsprojekter</t>
  </si>
  <si>
    <t>Spildevandsafgift</t>
  </si>
  <si>
    <t>Afgift til Forsyningsekretariatet</t>
  </si>
  <si>
    <t>Skatter og afgifter</t>
  </si>
  <si>
    <t>Selskabsskatter</t>
  </si>
  <si>
    <t>Periodevise driftsomkostninger under prisloftsbekendtgørelsen</t>
  </si>
  <si>
    <t>Ingen bortfald eller nedsættelse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</si>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</sst>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3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4" t="s">
        <v>123</v>
      </c>
      <c r="E8" s="74"/>
      <c r="F8" s="74"/>
      <c r="G8" s="7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3" t="s">
        <v>4</v>
      </c>
      <c r="E11" s="73"/>
      <c r="F11" s="73"/>
      <c r="G11" s="7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6" t="s">
        <v>31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30</v>
      </c>
      <c r="D14" s="66" t="s">
        <v>95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94</v>
      </c>
      <c r="D15" s="66" t="s">
        <v>97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96</v>
      </c>
      <c r="D16" s="66" t="s">
        <v>124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6</v>
      </c>
      <c r="D17" s="75" t="s">
        <v>98</v>
      </c>
      <c r="E17" s="76"/>
      <c r="F17" s="76"/>
      <c r="G17" s="77"/>
      <c r="H17" s="1"/>
      <c r="I17" s="1"/>
    </row>
    <row r="18" spans="1:9" x14ac:dyDescent="0.25">
      <c r="A18" s="1"/>
      <c r="B18" s="1"/>
      <c r="C18" s="6" t="s">
        <v>7</v>
      </c>
      <c r="D18" s="75" t="s">
        <v>99</v>
      </c>
      <c r="E18" s="76"/>
      <c r="F18" s="76"/>
      <c r="G18" s="77"/>
      <c r="H18" s="1"/>
      <c r="I18" s="1"/>
    </row>
    <row r="19" spans="1:9" x14ac:dyDescent="0.25">
      <c r="A19" s="1"/>
      <c r="B19" s="1"/>
      <c r="C19" s="6" t="s">
        <v>8</v>
      </c>
      <c r="D19" s="81" t="s">
        <v>103</v>
      </c>
      <c r="E19" s="82"/>
      <c r="F19" s="82"/>
      <c r="G19" s="83"/>
      <c r="H19" s="1"/>
      <c r="I19" s="1"/>
    </row>
    <row r="20" spans="1:9" x14ac:dyDescent="0.25">
      <c r="A20" s="1"/>
      <c r="B20" s="1"/>
      <c r="C20" s="6" t="s">
        <v>9</v>
      </c>
      <c r="D20" s="70" t="s">
        <v>100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10</v>
      </c>
      <c r="D21" s="70" t="s">
        <v>122</v>
      </c>
      <c r="E21" s="71"/>
      <c r="F21" s="71"/>
      <c r="G21" s="72"/>
      <c r="H21" s="1"/>
      <c r="I21" s="1"/>
    </row>
    <row r="22" spans="1:9" x14ac:dyDescent="0.25">
      <c r="A22" s="1"/>
      <c r="B22" s="1"/>
      <c r="C22" s="6" t="s">
        <v>11</v>
      </c>
      <c r="D22" s="70" t="s">
        <v>104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12</v>
      </c>
      <c r="D23" s="84" t="s">
        <v>28</v>
      </c>
      <c r="E23" s="85"/>
      <c r="F23" s="85"/>
      <c r="G23" s="86"/>
      <c r="H23" s="1"/>
      <c r="I23" s="1"/>
    </row>
    <row r="24" spans="1:9" x14ac:dyDescent="0.25">
      <c r="A24" s="1"/>
      <c r="B24" s="1"/>
      <c r="C24" s="6" t="s">
        <v>26</v>
      </c>
      <c r="D24" s="78" t="s">
        <v>101</v>
      </c>
      <c r="E24" s="79"/>
      <c r="F24" s="79"/>
      <c r="G24" s="80"/>
      <c r="H24" s="1"/>
      <c r="I24" s="1"/>
    </row>
    <row r="25" spans="1:9" x14ac:dyDescent="0.25">
      <c r="A25" s="1"/>
      <c r="B25" s="1"/>
      <c r="C25" s="6" t="s">
        <v>29</v>
      </c>
      <c r="D25" s="78" t="s">
        <v>54</v>
      </c>
      <c r="E25" s="79"/>
      <c r="F25" s="79"/>
      <c r="G25" s="8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2" t="s">
        <v>126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116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96" t="s">
        <v>105</v>
      </c>
      <c r="C9" s="97"/>
      <c r="D9" s="98"/>
      <c r="E9" s="11">
        <v>62227013.782550141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61018440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191704</v>
      </c>
      <c r="F11" s="22" t="s">
        <v>2</v>
      </c>
      <c r="G11" s="14"/>
      <c r="H11" s="28"/>
      <c r="I11" s="1"/>
    </row>
    <row r="12" spans="1:9" x14ac:dyDescent="0.25">
      <c r="A12" s="1"/>
      <c r="B12" s="44" t="s">
        <v>107</v>
      </c>
      <c r="C12" s="45"/>
      <c r="D12" s="46"/>
      <c r="E12" s="17">
        <f>E9-(E10-E11)</f>
        <v>1400277.7825501412</v>
      </c>
      <c r="F12" s="25" t="s">
        <v>2</v>
      </c>
      <c r="G12" s="17">
        <f>E12</f>
        <v>1400277.7825501412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9" t="s">
        <v>117</v>
      </c>
      <c r="C17" s="90"/>
      <c r="D17" s="90"/>
      <c r="E17" s="90"/>
      <c r="F17" s="90"/>
      <c r="G17" s="90"/>
      <c r="H17" s="91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89" t="s">
        <v>114</v>
      </c>
      <c r="C21" s="90"/>
      <c r="D21" s="90"/>
      <c r="E21" s="90"/>
      <c r="F21" s="91"/>
      <c r="G21" s="20">
        <f>E20</f>
        <v>0</v>
      </c>
      <c r="H21" s="21" t="s">
        <v>2</v>
      </c>
      <c r="I21" s="1"/>
    </row>
    <row r="22" spans="1:9" x14ac:dyDescent="0.25">
      <c r="A22" s="1"/>
      <c r="B22" s="89" t="s">
        <v>115</v>
      </c>
      <c r="C22" s="90"/>
      <c r="D22" s="90"/>
      <c r="E22" s="90"/>
      <c r="F22" s="91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130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9" t="s">
        <v>127</v>
      </c>
      <c r="C8" s="90"/>
      <c r="D8" s="90"/>
      <c r="E8" s="90"/>
      <c r="F8" s="90"/>
      <c r="G8" s="90"/>
      <c r="H8" s="91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15" customHeight="1" x14ac:dyDescent="0.25">
      <c r="A10" s="1"/>
      <c r="B10" s="63" t="s">
        <v>133</v>
      </c>
      <c r="C10" s="64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89" t="s">
        <v>131</v>
      </c>
      <c r="C11" s="90"/>
      <c r="D11" s="91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121</v>
      </c>
      <c r="C3" s="87"/>
      <c r="D3" s="87"/>
      <c r="E3" s="87"/>
      <c r="F3" s="87"/>
      <c r="G3" s="87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8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127</v>
      </c>
      <c r="C10" s="56"/>
      <c r="D10" s="57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140</v>
      </c>
      <c r="C3" s="92"/>
      <c r="D3" s="92"/>
      <c r="E3" s="92"/>
      <c r="F3" s="92"/>
      <c r="G3" s="92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5" t="s">
        <v>139</v>
      </c>
      <c r="C10" s="65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141</v>
      </c>
      <c r="C3" s="92"/>
      <c r="D3" s="92"/>
      <c r="E3" s="92"/>
      <c r="F3" s="92"/>
      <c r="G3" s="1"/>
      <c r="H3" s="1"/>
    </row>
    <row r="4" spans="1:8" ht="25.5" customHeight="1" x14ac:dyDescent="0.25">
      <c r="A4" s="1"/>
      <c r="B4" s="92"/>
      <c r="C4" s="92"/>
      <c r="D4" s="92"/>
      <c r="E4" s="92"/>
      <c r="F4" s="92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60" t="s">
        <v>44</v>
      </c>
      <c r="C9" s="61"/>
      <c r="D9" s="61"/>
      <c r="E9" s="62"/>
      <c r="F9" s="58">
        <v>1.7500000000000002E-2</v>
      </c>
      <c r="G9" s="59"/>
      <c r="H9" s="1"/>
    </row>
    <row r="10" spans="1:8" x14ac:dyDescent="0.25">
      <c r="A10" s="1"/>
      <c r="B10" s="60" t="s">
        <v>45</v>
      </c>
      <c r="C10" s="61"/>
      <c r="D10" s="61"/>
      <c r="E10" s="62"/>
      <c r="F10" s="58">
        <v>1.6899999999999998E-2</v>
      </c>
      <c r="G10" s="59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60" t="s">
        <v>13</v>
      </c>
      <c r="C14" s="61"/>
      <c r="D14" s="61"/>
      <c r="E14" s="62"/>
      <c r="F14" s="58">
        <v>5.5752315814583059E-3</v>
      </c>
      <c r="G14" s="59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87" t="s">
        <v>41</v>
      </c>
      <c r="C3" s="87"/>
      <c r="D3" s="87"/>
      <c r="E3" s="87"/>
      <c r="F3" s="87"/>
      <c r="G3" s="1"/>
      <c r="I3" s="36"/>
    </row>
    <row r="4" spans="1:9" ht="15" customHeight="1" x14ac:dyDescent="0.25">
      <c r="A4" s="1"/>
      <c r="B4" s="87"/>
      <c r="C4" s="87"/>
      <c r="D4" s="87"/>
      <c r="E4" s="87"/>
      <c r="F4" s="87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2" t="s">
        <v>49</v>
      </c>
      <c r="C9" s="7">
        <f>'Fane 3. Omkostninger i ØR2018'!G13</f>
        <v>55353227.126118258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3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3" t="s">
        <v>63</v>
      </c>
      <c r="C11" s="11">
        <f>'Fane 9. Tillæg'!F12</f>
        <v>0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3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3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3" t="s">
        <v>37</v>
      </c>
      <c r="C14" s="11">
        <f>C9*Prisudvikling2018+SUM(C10:C13)*Prisudvikling2019</f>
        <v>968681.47470706957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3" t="s">
        <v>13</v>
      </c>
      <c r="C15" s="11">
        <f>-SUM(C9:C14)*IndividueltKrav</f>
        <v>-314007.68355932954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3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-591391.0371456549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62</v>
      </c>
      <c r="C17" s="11">
        <f>-(('Fane 5. Generelt eff. krav'!G12-'Fane 5. Generelt eff. krav'!G11)*(1+Prisudvikling2018)*GenereltKravAnlæg2018+SUM(C11,C13)*(1+Prisudvikling2019)*GenereltKravAnlæg2019)</f>
        <v>-484725.97534135508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4" t="s">
        <v>40</v>
      </c>
      <c r="C18" s="17">
        <f>SUM(C9:C17)</f>
        <v>54931783.904778987</v>
      </c>
      <c r="D18" s="18" t="s">
        <v>2</v>
      </c>
      <c r="E18" s="17">
        <f>C18</f>
        <v>54931783.904778987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138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3" t="s">
        <v>22</v>
      </c>
      <c r="C24" s="11">
        <f>'Fane 4. Ikke-påvirkelige omk.'!E15</f>
        <v>5562660.8582154391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3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5562660.8582154391</v>
      </c>
      <c r="D26" s="18" t="s">
        <v>2</v>
      </c>
      <c r="E26" s="17">
        <f>C26</f>
        <v>5562660.8582154391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2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2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3" t="s">
        <v>52</v>
      </c>
      <c r="C30" s="7">
        <v>29077.029062510239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4" t="s">
        <v>53</v>
      </c>
      <c r="C31" s="17">
        <f>SUM(C28:C30)</f>
        <v>29077.029062510239</v>
      </c>
      <c r="D31" s="18" t="s">
        <v>2</v>
      </c>
      <c r="E31" s="17">
        <f>C31</f>
        <v>29077.029062510239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4" t="s">
        <v>24</v>
      </c>
      <c r="C33" s="17">
        <f>'Fane 6. Hist. over el. underdæk'!G13</f>
        <v>-103166.5</v>
      </c>
      <c r="D33" s="18" t="s">
        <v>2</v>
      </c>
      <c r="E33" s="17">
        <f>C33</f>
        <v>-103166.5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60420355.292056933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42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9" t="s">
        <v>25</v>
      </c>
      <c r="C8" s="90"/>
      <c r="D8" s="90"/>
      <c r="E8" s="90"/>
      <c r="F8" s="91"/>
      <c r="G8" s="1"/>
    </row>
    <row r="9" spans="1:7" ht="15" customHeight="1" x14ac:dyDescent="0.25">
      <c r="A9" s="1"/>
      <c r="B9" s="42" t="s">
        <v>55</v>
      </c>
      <c r="C9" s="7">
        <f>'Fane 2.1. Økonomisk ramme 2019'!E18</f>
        <v>54931783.904778987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SUM(C9:C9)*Prisudvikling2019</f>
        <v>928347.14799076482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-311433.16678980173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('Fane 2.1. Økonomisk ramme 2019'!C16/GenereltKravDrift2018-'Fane 2.1. Økonomisk ramme 2019'!C16)*(1+Prisudvikling2019)*GenereltKravDrift2019</f>
        <v>-589357.83475994808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3" t="s">
        <v>62</v>
      </c>
      <c r="C13" s="11">
        <f>(('Fane 2.1. Økonomisk ramme 2019'!C17/GenereltKravAnlæg2018-'Fane 2.1. Økonomisk ramme 2019'!C17)*(1+Prisudvikling2019)*GenereltKravAnlæg2019)</f>
        <v>-237993.26704952988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4" t="s">
        <v>40</v>
      </c>
      <c r="C14" s="17">
        <f>SUM(C9:C13)</f>
        <v>54721346.784170471</v>
      </c>
      <c r="D14" s="18" t="s">
        <v>2</v>
      </c>
      <c r="E14" s="17">
        <f>C14</f>
        <v>54721346.784170471</v>
      </c>
      <c r="F14" s="18" t="s">
        <v>2</v>
      </c>
      <c r="G14" s="1"/>
    </row>
    <row r="15" spans="1:7" ht="15" customHeight="1" x14ac:dyDescent="0.25">
      <c r="A15" s="1"/>
      <c r="B15" s="89" t="s">
        <v>74</v>
      </c>
      <c r="C15" s="90"/>
      <c r="D15" s="90"/>
      <c r="E15" s="90"/>
      <c r="F15" s="91"/>
      <c r="G15" s="1"/>
    </row>
    <row r="16" spans="1:7" ht="15" customHeight="1" x14ac:dyDescent="0.25">
      <c r="A16" s="1"/>
      <c r="B16" s="43" t="s">
        <v>138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89" t="s">
        <v>22</v>
      </c>
      <c r="C19" s="90"/>
      <c r="D19" s="90"/>
      <c r="E19" s="90"/>
      <c r="F19" s="91"/>
      <c r="G19" s="1"/>
    </row>
    <row r="20" spans="1:7" ht="15" customHeight="1" x14ac:dyDescent="0.25">
      <c r="A20" s="1"/>
      <c r="B20" s="43" t="s">
        <v>22</v>
      </c>
      <c r="C20" s="11">
        <f>'Fane 4. Ikke-påvirkelige omk.'!E15*(1+Prisudvikling2019)</f>
        <v>5656669.8267192794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5656669.8267192794</v>
      </c>
      <c r="D22" s="18" t="s">
        <v>2</v>
      </c>
      <c r="E22" s="17">
        <f>C22</f>
        <v>5656669.8267192794</v>
      </c>
      <c r="F22" s="18" t="s">
        <v>2</v>
      </c>
      <c r="G22" s="1"/>
    </row>
    <row r="23" spans="1:7" x14ac:dyDescent="0.25">
      <c r="A23" s="1"/>
      <c r="B23" s="89" t="s">
        <v>15</v>
      </c>
      <c r="C23" s="90"/>
      <c r="D23" s="90"/>
      <c r="E23" s="90"/>
      <c r="F23" s="91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-103166.5</v>
      </c>
      <c r="D24" s="18" t="s">
        <v>2</v>
      </c>
      <c r="E24" s="17">
        <f>C24</f>
        <v>-103166.5</v>
      </c>
      <c r="F24" s="18" t="s">
        <v>2</v>
      </c>
      <c r="G24" s="1"/>
    </row>
    <row r="25" spans="1:7" x14ac:dyDescent="0.25">
      <c r="A25" s="1"/>
      <c r="B25" s="89" t="s">
        <v>116</v>
      </c>
      <c r="C25" s="90"/>
      <c r="D25" s="90"/>
      <c r="E25" s="90"/>
      <c r="F25" s="91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60274850.110889748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91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2" t="s">
        <v>57</v>
      </c>
      <c r="C9" s="7">
        <f>'Fane 2.2. Økonomisk ramme 2020'!E14</f>
        <v>54721346.784170471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3" t="s">
        <v>37</v>
      </c>
      <c r="C10" s="11">
        <f>C9*Prisudvikling2019</f>
        <v>924790.76065248088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13</v>
      </c>
      <c r="C11" s="11">
        <f>-SUM(C9:C10)*IndividueltKrav</f>
        <v>-310240.10342606966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3" t="s">
        <v>61</v>
      </c>
      <c r="C12" s="11">
        <f>(('Fane 2.2. Økonomisk ramme 2020'!C12/GenereltKravDrift2019-'Fane 2.2. Økonomisk ramme 2020'!C12)*(1+Prisudvikling2019)*GenereltKravDrift2019)</f>
        <v>-587331.62252404331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3" t="s">
        <v>62</v>
      </c>
      <c r="C13" s="11">
        <f>(('Fane 2.2. Økonomisk ramme 2020'!C13/GenereltKravAnlæg2019-'Fane 2.2. Økonomisk ramme 2020'!C13)*(1+Prisudvikling2019)*GenereltKravAnlæg2019)</f>
        <v>-239909.81968928175</v>
      </c>
      <c r="D13" s="8" t="s">
        <v>2</v>
      </c>
      <c r="E13" s="15"/>
      <c r="F13" s="16"/>
      <c r="G13" s="1"/>
    </row>
    <row r="14" spans="1:7" x14ac:dyDescent="0.25">
      <c r="A14" s="1"/>
      <c r="B14" s="44" t="s">
        <v>40</v>
      </c>
      <c r="C14" s="17">
        <f>SUM(C9:C13)</f>
        <v>54508655.999183558</v>
      </c>
      <c r="D14" s="18" t="s">
        <v>2</v>
      </c>
      <c r="E14" s="17">
        <f>C14</f>
        <v>54508655.999183558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3" t="s">
        <v>138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3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3" t="s">
        <v>22</v>
      </c>
      <c r="C20" s="11">
        <f>'Fane 4. Ikke-påvirkelige omk.'!E15*(1+Prisudvikling2019)^2</f>
        <v>5752267.5467908345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3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5752267.5467908345</v>
      </c>
      <c r="D22" s="18" t="s">
        <v>2</v>
      </c>
      <c r="E22" s="17">
        <f>C22</f>
        <v>5752267.5467908345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60260923.545974389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7" t="s">
        <v>92</v>
      </c>
      <c r="C3" s="87"/>
      <c r="D3" s="87"/>
      <c r="E3" s="87"/>
      <c r="F3" s="87"/>
      <c r="G3" s="1"/>
    </row>
    <row r="4" spans="1:7" ht="15" customHeight="1" x14ac:dyDescent="0.25">
      <c r="A4" s="1"/>
      <c r="B4" s="87"/>
      <c r="C4" s="87"/>
      <c r="D4" s="87"/>
      <c r="E4" s="87"/>
      <c r="F4" s="87"/>
      <c r="G4" s="1"/>
    </row>
    <row r="5" spans="1:7" x14ac:dyDescent="0.25">
      <c r="A5" s="1"/>
      <c r="B5" s="88" t="s">
        <v>43</v>
      </c>
      <c r="C5" s="88"/>
      <c r="D5" s="88"/>
      <c r="E5" s="88"/>
      <c r="F5" s="8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2" t="s">
        <v>58</v>
      </c>
      <c r="C8" s="7">
        <f>'Fane 2.3. Økonomisk ramme 2021'!E14</f>
        <v>54508655.999183558</v>
      </c>
      <c r="D8" s="8" t="s">
        <v>2</v>
      </c>
      <c r="E8" s="9"/>
      <c r="F8" s="10"/>
      <c r="G8" s="1"/>
    </row>
    <row r="9" spans="1:7" ht="15" customHeight="1" x14ac:dyDescent="0.25">
      <c r="A9" s="1"/>
      <c r="B9" s="43" t="s">
        <v>37</v>
      </c>
      <c r="C9" s="11">
        <f>C8*Prisudvikling2019</f>
        <v>921196.28638620209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3" t="s">
        <v>13</v>
      </c>
      <c r="C10" s="11">
        <f>-SUM(C8:C9)*IndividueltKrav</f>
        <v>-309034.26301807736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3" t="s">
        <v>61</v>
      </c>
      <c r="C11" s="11">
        <f>('Fane 2.3. Økonomisk ramme 2021'!C12/GenereltKravDrift2019-'Fane 2.3. Økonomisk ramme 2021'!C12)*(1+Prisudvikling2019)*GenereltKravDrift2019</f>
        <v>-585312.3764058057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3" t="s">
        <v>62</v>
      </c>
      <c r="C12" s="11">
        <f>('Fane 2.3. Økonomisk ramme 2021'!C13/GenereltKravAnlæg2019-'Fane 2.3. Økonomisk ramme 2021'!C13)*(1+Prisudvikling2019)*GenereltKravAnlæg2019</f>
        <v>-241841.80626994494</v>
      </c>
      <c r="D12" s="8" t="s">
        <v>2</v>
      </c>
      <c r="E12" s="15"/>
      <c r="F12" s="16"/>
      <c r="G12" s="1"/>
    </row>
    <row r="13" spans="1:7" x14ac:dyDescent="0.25">
      <c r="A13" s="1"/>
      <c r="B13" s="44" t="s">
        <v>40</v>
      </c>
      <c r="C13" s="17">
        <f>SUM(C8:C12)</f>
        <v>54293663.839875929</v>
      </c>
      <c r="D13" s="18" t="s">
        <v>2</v>
      </c>
      <c r="E13" s="17">
        <f>C13</f>
        <v>54293663.839875929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3" t="s">
        <v>138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3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3" t="s">
        <v>22</v>
      </c>
      <c r="C19" s="11">
        <f>'Fane 4. Ikke-påvirkelige omk.'!E15*(1+Prisudvikling2019)^3</f>
        <v>5849480.868331599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3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5849480.868331599</v>
      </c>
      <c r="D21" s="18" t="s">
        <v>2</v>
      </c>
      <c r="E21" s="17">
        <f>C21</f>
        <v>5849480.868331599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60143144.708207525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93</v>
      </c>
      <c r="C3" s="92"/>
      <c r="D3" s="92"/>
      <c r="E3" s="92"/>
      <c r="F3" s="92"/>
      <c r="G3" s="92"/>
      <c r="H3" s="92"/>
      <c r="I3" s="1"/>
    </row>
    <row r="4" spans="1:9" ht="29.2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0" t="s">
        <v>32</v>
      </c>
      <c r="C9" s="61"/>
      <c r="D9" s="61"/>
      <c r="E9" s="61"/>
      <c r="F9" s="62"/>
      <c r="G9" s="11">
        <v>60136754.590673007</v>
      </c>
      <c r="H9" s="22" t="s">
        <v>2</v>
      </c>
      <c r="I9" s="1"/>
    </row>
    <row r="10" spans="1:9" x14ac:dyDescent="0.25">
      <c r="A10" s="1"/>
      <c r="B10" s="47" t="s">
        <v>73</v>
      </c>
      <c r="C10" s="61"/>
      <c r="D10" s="61"/>
      <c r="E10" s="61"/>
      <c r="F10" s="62"/>
      <c r="G10" s="11">
        <v>0</v>
      </c>
      <c r="H10" s="22" t="s">
        <v>2</v>
      </c>
      <c r="I10" s="1"/>
    </row>
    <row r="11" spans="1:9" x14ac:dyDescent="0.25">
      <c r="A11" s="1"/>
      <c r="B11" s="47" t="s">
        <v>48</v>
      </c>
      <c r="C11" s="61"/>
      <c r="D11" s="61"/>
      <c r="E11" s="61"/>
      <c r="F11" s="62"/>
      <c r="G11" s="11">
        <v>4783527.4645547476</v>
      </c>
      <c r="H11" s="22" t="s">
        <v>2</v>
      </c>
      <c r="I11" s="1"/>
    </row>
    <row r="12" spans="1:9" x14ac:dyDescent="0.25">
      <c r="A12" s="1"/>
      <c r="B12" s="47" t="s">
        <v>75</v>
      </c>
      <c r="C12" s="61"/>
      <c r="D12" s="61"/>
      <c r="E12" s="61"/>
      <c r="F12" s="62"/>
      <c r="G12" s="11">
        <v>0</v>
      </c>
      <c r="H12" s="22" t="s">
        <v>2</v>
      </c>
      <c r="I12" s="1"/>
    </row>
    <row r="13" spans="1:9" ht="26.25" customHeight="1" x14ac:dyDescent="0.25">
      <c r="A13" s="1"/>
      <c r="B13" s="48" t="s">
        <v>59</v>
      </c>
      <c r="C13" s="40"/>
      <c r="D13" s="40"/>
      <c r="E13" s="40"/>
      <c r="F13" s="41"/>
      <c r="G13" s="34">
        <f>G9-G10-G11</f>
        <v>55353227.126118258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7" t="s">
        <v>102</v>
      </c>
      <c r="C3" s="87"/>
      <c r="D3" s="87"/>
      <c r="E3" s="87"/>
      <c r="F3" s="87"/>
      <c r="G3" s="1"/>
      <c r="H3" s="1"/>
    </row>
    <row r="4" spans="1:8" ht="15" customHeight="1" x14ac:dyDescent="0.25">
      <c r="A4" s="1"/>
      <c r="B4" s="87"/>
      <c r="C4" s="87"/>
      <c r="D4" s="87"/>
      <c r="E4" s="87"/>
      <c r="F4" s="87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4" t="s">
        <v>111</v>
      </c>
      <c r="C9" s="30"/>
      <c r="D9" s="37"/>
      <c r="E9" s="49" t="s">
        <v>47</v>
      </c>
      <c r="F9" s="18"/>
      <c r="G9" s="1"/>
      <c r="H9" s="1"/>
    </row>
    <row r="10" spans="1:8" x14ac:dyDescent="0.25">
      <c r="A10" s="1"/>
      <c r="B10" s="93" t="s">
        <v>134</v>
      </c>
      <c r="C10" s="94"/>
      <c r="D10" s="95"/>
      <c r="E10" s="11">
        <v>4006835</v>
      </c>
      <c r="F10" s="22" t="s">
        <v>2</v>
      </c>
      <c r="G10" s="1"/>
      <c r="H10" s="1"/>
    </row>
    <row r="11" spans="1:8" x14ac:dyDescent="0.25">
      <c r="A11" s="1"/>
      <c r="B11" s="93" t="s">
        <v>135</v>
      </c>
      <c r="C11" s="94"/>
      <c r="D11" s="95"/>
      <c r="E11" s="11">
        <v>92846</v>
      </c>
      <c r="F11" s="22" t="s">
        <v>2</v>
      </c>
      <c r="G11" s="1"/>
      <c r="H11" s="1"/>
    </row>
    <row r="12" spans="1:8" x14ac:dyDescent="0.25">
      <c r="A12" s="1"/>
      <c r="B12" s="93" t="s">
        <v>136</v>
      </c>
      <c r="C12" s="94"/>
      <c r="D12" s="95"/>
      <c r="E12" s="11">
        <v>895414</v>
      </c>
      <c r="F12" s="22" t="s">
        <v>2</v>
      </c>
      <c r="G12" s="1"/>
      <c r="H12" s="1"/>
    </row>
    <row r="13" spans="1:8" x14ac:dyDescent="0.25">
      <c r="A13" s="1"/>
      <c r="B13" s="93" t="s">
        <v>137</v>
      </c>
      <c r="C13" s="94"/>
      <c r="D13" s="95"/>
      <c r="E13" s="11">
        <v>384209</v>
      </c>
      <c r="F13" s="22" t="s">
        <v>2</v>
      </c>
      <c r="G13" s="1"/>
      <c r="H13" s="1"/>
    </row>
    <row r="14" spans="1:8" x14ac:dyDescent="0.25">
      <c r="A14" s="1"/>
      <c r="B14" s="89" t="s">
        <v>128</v>
      </c>
      <c r="C14" s="90"/>
      <c r="D14" s="91"/>
      <c r="E14" s="20">
        <f>SUM(E10:E13)</f>
        <v>5379304</v>
      </c>
      <c r="F14" s="21" t="s">
        <v>2</v>
      </c>
      <c r="G14" s="1"/>
      <c r="H14" s="1"/>
    </row>
    <row r="15" spans="1:8" x14ac:dyDescent="0.25">
      <c r="A15" s="1"/>
      <c r="B15" s="89" t="s">
        <v>129</v>
      </c>
      <c r="C15" s="90"/>
      <c r="D15" s="91"/>
      <c r="E15" s="20">
        <f>E14*(1+Prisudvikling2019)^2</f>
        <v>5562660.8582154391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7">
    <mergeCell ref="B3:F4"/>
    <mergeCell ref="B14:D14"/>
    <mergeCell ref="B15:D15"/>
    <mergeCell ref="B10:D10"/>
    <mergeCell ref="B12:D12"/>
    <mergeCell ref="B13:D13"/>
    <mergeCell ref="B11:D11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120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0" t="s">
        <v>82</v>
      </c>
      <c r="C9" s="61"/>
      <c r="D9" s="61"/>
      <c r="E9" s="61"/>
      <c r="F9" s="62"/>
      <c r="G9" s="53">
        <v>593081.31890453282</v>
      </c>
      <c r="H9" s="22" t="s">
        <v>2</v>
      </c>
      <c r="I9" s="1"/>
    </row>
    <row r="10" spans="1:9" x14ac:dyDescent="0.25">
      <c r="A10" s="1"/>
      <c r="B10" s="60" t="s">
        <v>83</v>
      </c>
      <c r="C10" s="61"/>
      <c r="D10" s="61"/>
      <c r="E10" s="61"/>
      <c r="F10" s="62"/>
      <c r="G10" s="53">
        <f>G9/GenereltKravDrift2018</f>
        <v>29654065.94522664</v>
      </c>
      <c r="H10" s="22" t="s">
        <v>2</v>
      </c>
      <c r="I10" s="1"/>
    </row>
    <row r="11" spans="1:9" x14ac:dyDescent="0.25">
      <c r="A11" s="1"/>
      <c r="B11" s="60" t="s">
        <v>84</v>
      </c>
      <c r="C11" s="61"/>
      <c r="D11" s="61"/>
      <c r="E11" s="61"/>
      <c r="F11" s="62"/>
      <c r="G11" s="53">
        <v>484973.19042517425</v>
      </c>
      <c r="H11" s="22" t="s">
        <v>2</v>
      </c>
      <c r="I11" s="1"/>
    </row>
    <row r="12" spans="1:9" x14ac:dyDescent="0.25">
      <c r="A12" s="1"/>
      <c r="B12" s="60" t="s">
        <v>85</v>
      </c>
      <c r="C12" s="61"/>
      <c r="D12" s="61"/>
      <c r="E12" s="61"/>
      <c r="F12" s="62"/>
      <c r="G12" s="53">
        <f>G11/GenereltKravAnlæg2018</f>
        <v>27399615.278258432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4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4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4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4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7" t="s">
        <v>125</v>
      </c>
      <c r="C3" s="87"/>
      <c r="D3" s="87"/>
      <c r="E3" s="87"/>
      <c r="F3" s="87"/>
      <c r="G3" s="87"/>
      <c r="H3" s="87"/>
      <c r="I3" s="1"/>
    </row>
    <row r="4" spans="1:9" ht="15" customHeight="1" x14ac:dyDescent="0.2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60" t="s">
        <v>17</v>
      </c>
      <c r="C9" s="61"/>
      <c r="D9" s="61"/>
      <c r="E9" s="61"/>
      <c r="F9" s="62"/>
      <c r="G9" s="11">
        <v>-928496</v>
      </c>
      <c r="H9" s="22" t="s">
        <v>2</v>
      </c>
      <c r="I9" s="1"/>
    </row>
    <row r="10" spans="1:9" x14ac:dyDescent="0.25">
      <c r="A10" s="1"/>
      <c r="B10" s="60" t="s">
        <v>46</v>
      </c>
      <c r="C10" s="61"/>
      <c r="D10" s="61"/>
      <c r="E10" s="61"/>
      <c r="F10" s="62"/>
      <c r="G10" s="11">
        <v>-722163</v>
      </c>
      <c r="H10" s="22" t="s">
        <v>2</v>
      </c>
      <c r="I10" s="1"/>
    </row>
    <row r="11" spans="1:9" x14ac:dyDescent="0.25">
      <c r="A11" s="1"/>
      <c r="B11" s="50" t="s">
        <v>20</v>
      </c>
      <c r="C11" s="51"/>
      <c r="D11" s="51"/>
      <c r="E11" s="51"/>
      <c r="F11" s="52"/>
      <c r="G11" s="31">
        <f>G9-G10</f>
        <v>-206333</v>
      </c>
      <c r="H11" s="26" t="s">
        <v>2</v>
      </c>
      <c r="I11" s="1"/>
    </row>
    <row r="12" spans="1:9" x14ac:dyDescent="0.25">
      <c r="A12" s="1"/>
      <c r="B12" s="60" t="s">
        <v>18</v>
      </c>
      <c r="C12" s="61"/>
      <c r="D12" s="61"/>
      <c r="E12" s="61"/>
      <c r="F12" s="62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-103166.5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2018-10-11T13:13:33Z</dcterms:modified>
</cp:coreProperties>
</file>