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8" i="23" l="1"/>
  <c r="E18" i="22"/>
  <c r="C17" i="23"/>
  <c r="E17" i="23" s="1"/>
  <c r="C17" i="22"/>
  <c r="E17" i="22" s="1"/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25" i="11"/>
  <c r="D10" i="20" s="1"/>
  <c r="G25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5" i="19"/>
  <c r="E16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24" i="11" l="1"/>
  <c r="D12" i="20" l="1"/>
  <c r="C12" i="2" s="1"/>
  <c r="C18" i="2" s="1"/>
  <c r="C12" i="15" l="1"/>
  <c r="C11" i="22" s="1"/>
  <c r="C11" i="23" s="1"/>
  <c r="E23" i="11"/>
  <c r="E10" i="11" l="1"/>
  <c r="E25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/>
  <c r="C9" i="22" l="1"/>
  <c r="C10" i="22" s="1"/>
  <c r="C13" i="22" l="1"/>
  <c r="E13" i="22" s="1"/>
  <c r="C8" i="23"/>
  <c r="C9" i="23" l="1"/>
  <c r="C10" i="23" s="1"/>
  <c r="C13" i="23" l="1"/>
  <c r="E13" i="23" s="1"/>
</calcChain>
</file>

<file path=xl/sharedStrings.xml><?xml version="1.0" encoding="utf-8"?>
<sst xmlns="http://schemas.openxmlformats.org/spreadsheetml/2006/main" count="344" uniqueCount="169">
  <si>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</si>
  <si>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</si>
  <si>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</si>
  <si>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</si>
  <si>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</si>
  <si>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</si>
  <si>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</si>
  <si>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</si>
  <si>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</si>
  <si>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</si>
  <si>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</si>
  <si>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</si>
  <si>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</si>
  <si>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</si>
  <si>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</si>
  <si>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</si>
  <si>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</si>
  <si>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</si>
  <si>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</si>
  <si>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</si>
  <si>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</si>
  <si>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</si>
  <si>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</si>
  <si>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</si>
  <si>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</si>
  <si>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</si>
  <si>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</si>
  <si>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</si>
  <si>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</si>
  <si>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</si>
  <si>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</si>
  <si>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</si>
  <si>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</si>
  <si>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</si>
  <si>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</si>
  <si>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</si>
  <si>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</si>
  <si>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</si>
  <si>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</si>
  <si>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</si>
  <si>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</si>
  <si>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</si>
  <si>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</si>
  <si>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</si>
  <si>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</si>
  <si>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</si>
  <si>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</si>
  <si>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</si>
  <si>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</si>
  <si>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</si>
  <si>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</si>
  <si>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</si>
  <si>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</si>
  <si>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</si>
  <si>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</si>
  <si>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</si>
  <si>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</si>
  <si>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</si>
  <si>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</si>
  <si>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</si>
  <si>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</si>
  <si>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</si>
  <si>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</si>
  <si>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</si>
  <si>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</si>
  <si>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</si>
  <si>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</si>
  <si>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</si>
  <si>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</si>
  <si>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</si>
  <si>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</si>
  <si>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</si>
  <si>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</si>
  <si>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</si>
  <si>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</si>
  <si>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</si>
  <si>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</si>
  <si>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</si>
  <si>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</si>
  <si>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</si>
  <si>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</si>
  <si>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</si>
  <si>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</si>
  <si>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</si>
  <si>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</si>
  <si>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</si>
  <si>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</si>
  <si>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</si>
  <si>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</si>
  <si>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</si>
  <si>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</si>
  <si>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</si>
  <si>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</si>
  <si>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</si>
  <si>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</si>
  <si>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</si>
  <si>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</si>
  <si>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</si>
  <si>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</si>
  <si>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</si>
  <si>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</si>
  <si>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</si>
  <si>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</si>
  <si>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</si>
  <si>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</si>
  <si>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</si>
  <si>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</si>
  <si>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</si>
  <si>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Fordeling per år i reguleringsperiode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</si>
  <si>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</si>
  <si>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</si>
  <si>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</si>
  <si>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</si>
  <si>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</si>
  <si>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</si>
  <si>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</si>
  <si>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</si>
  <si>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</si>
  <si>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</si>
  <si>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</si>
  <si>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</si>
  <si>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</si>
  <si>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</si>
  <si>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</si>
  <si>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</si>
  <si>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</si>
  <si>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</si>
  <si>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</si>
  <si>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</si>
  <si>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</si>
  <si>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</si>
  <si>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</si>
  <si>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</si>
  <si>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</si>
  <si>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</si>
  <si>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</si>
  <si>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</si>
  <si>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</si>
  <si>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</si>
  <si>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</si>
  <si>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</si>
  <si>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</si>
  <si>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</si>
  <si>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</si>
  <si>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</si>
  <si>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</si>
  <si>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</si>
  <si>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</si>
  <si>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Erstatninger</t>
  </si>
  <si>
    <t>Ingen bortfald eller nedsættelse</t>
  </si>
  <si>
    <t>Fane 12: Bortfald eller nedsættelse af omkostninger til mål, medfinansiering eller udvidelse</t>
  </si>
  <si>
    <t>Fane 13: Nøgletal</t>
  </si>
  <si>
    <t>Beholderanlæg - højdebeholder</t>
  </si>
  <si>
    <t>Ventiler på Ø 250 mm &lt; Ledningsnet ≤ Ø 500mm</t>
  </si>
  <si>
    <t>Software</t>
  </si>
  <si>
    <t>Ø110 mm &lt; Ledningsnet ≤ Ø 250 mm</t>
  </si>
  <si>
    <t>Pumpestation (inkl. evt. hydrofor)/trykforøger, Mek./EL</t>
  </si>
  <si>
    <t>Boring (inkl. etablering, forerør, filter og prøvepumpning)</t>
  </si>
  <si>
    <t>SRO-anlæg, vandværk</t>
  </si>
  <si>
    <t>TAG-nummerering af ledningsnettet</t>
  </si>
  <si>
    <t>Afregningsmålere, elektroniske ≤ Ø 110mm (Qn 10)</t>
  </si>
  <si>
    <t>Ledningsnet &gt; Ø 500 mm</t>
  </si>
  <si>
    <t>Pumpe inkl. stigrør og forerørsforsejlinger mv.</t>
  </si>
  <si>
    <t>Etageareal vandbehandlingsbygning</t>
  </si>
  <si>
    <t>Afgift for ledningsført vand</t>
  </si>
  <si>
    <t>Tjenestemandspensioner</t>
  </si>
  <si>
    <t>Tillæg/fradrag i den økonomiske ramme for 2019-2022 i alt (2017-prisniveau)</t>
  </si>
  <si>
    <t>Tillæg/fradrag i den økonomiske ramme for 2019-2022 i alt (2019-prisniveau)</t>
  </si>
  <si>
    <t>Til indregning i de økonomiske rammer for 2019-2022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</si>
</sst>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133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116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115</v>
      </c>
      <c r="D15" s="77" t="s">
        <v>118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117</v>
      </c>
      <c r="D16" s="77" t="s">
        <v>134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119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127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120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128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121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123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122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124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125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126</v>
      </c>
      <c r="D27" s="65" t="s">
        <v>57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114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84</v>
      </c>
      <c r="C9" s="91"/>
      <c r="D9" s="91"/>
      <c r="E9" s="91"/>
      <c r="F9" s="92"/>
      <c r="G9" s="55">
        <v>3871232.1925337133</v>
      </c>
      <c r="H9" s="22" t="s">
        <v>3</v>
      </c>
      <c r="I9" s="1"/>
    </row>
    <row r="10" spans="1:9" x14ac:dyDescent="0.25">
      <c r="A10" s="1"/>
      <c r="B10" s="90" t="s">
        <v>85</v>
      </c>
      <c r="C10" s="91"/>
      <c r="D10" s="91"/>
      <c r="E10" s="91"/>
      <c r="F10" s="92"/>
      <c r="G10" s="55">
        <f>G9/G17</f>
        <v>193561609.62668565</v>
      </c>
      <c r="H10" s="22" t="s">
        <v>3</v>
      </c>
      <c r="I10" s="1"/>
    </row>
    <row r="11" spans="1:9" x14ac:dyDescent="0.25">
      <c r="A11" s="1"/>
      <c r="B11" s="90" t="s">
        <v>86</v>
      </c>
      <c r="C11" s="91"/>
      <c r="D11" s="91"/>
      <c r="E11" s="91"/>
      <c r="F11" s="92"/>
      <c r="G11" s="55">
        <v>1051372.8194130179</v>
      </c>
      <c r="H11" s="22" t="s">
        <v>3</v>
      </c>
      <c r="I11" s="1"/>
    </row>
    <row r="12" spans="1:9" x14ac:dyDescent="0.25">
      <c r="A12" s="1"/>
      <c r="B12" s="90" t="s">
        <v>87</v>
      </c>
      <c r="C12" s="91"/>
      <c r="D12" s="91"/>
      <c r="E12" s="91"/>
      <c r="F12" s="92"/>
      <c r="G12" s="55">
        <f>G11/G19</f>
        <v>115535474.66077119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89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88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90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145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131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-21834000</v>
      </c>
      <c r="H9" s="22" t="s">
        <v>3</v>
      </c>
      <c r="I9" s="1"/>
    </row>
    <row r="10" spans="1:9" x14ac:dyDescent="0.25">
      <c r="A10" s="1"/>
      <c r="B10" s="90" t="s">
        <v>52</v>
      </c>
      <c r="C10" s="91"/>
      <c r="D10" s="91"/>
      <c r="E10" s="91"/>
      <c r="F10" s="92"/>
      <c r="G10" s="11">
        <v>-21834000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97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92</v>
      </c>
      <c r="C9" s="91"/>
      <c r="D9" s="92"/>
      <c r="E9" s="11">
        <v>557988398.05614161</v>
      </c>
      <c r="F9" s="22" t="s">
        <v>3</v>
      </c>
      <c r="G9" s="19"/>
      <c r="H9" s="27"/>
      <c r="I9" s="1"/>
    </row>
    <row r="10" spans="1:9" x14ac:dyDescent="0.25">
      <c r="A10" s="1"/>
      <c r="B10" s="90" t="s">
        <v>93</v>
      </c>
      <c r="C10" s="91"/>
      <c r="D10" s="92"/>
      <c r="E10" s="11">
        <v>599638686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98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105</v>
      </c>
      <c r="C12" s="103"/>
      <c r="D12" s="104"/>
      <c r="E12" s="17">
        <f>E9-(E10-E11)</f>
        <v>-41650287.943858385</v>
      </c>
      <c r="F12" s="25" t="s">
        <v>3</v>
      </c>
      <c r="G12" s="17">
        <f>E12</f>
        <v>-41650287.943858385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102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100</v>
      </c>
      <c r="C17" s="91"/>
      <c r="D17" s="92"/>
      <c r="E17" s="11">
        <v>-1633846.802333334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101</v>
      </c>
      <c r="C18" s="91"/>
      <c r="D18" s="92"/>
      <c r="E18" s="11">
        <v>-43591586.507452965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103</v>
      </c>
      <c r="C19" s="103"/>
      <c r="D19" s="104"/>
      <c r="E19" s="17">
        <f>SUM(E17:E18)</f>
        <v>-45225433.309786297</v>
      </c>
      <c r="F19" s="25" t="s">
        <v>3</v>
      </c>
      <c r="G19" s="17">
        <f>E19</f>
        <v>-45225433.309786297</v>
      </c>
      <c r="H19" s="25" t="s">
        <v>3</v>
      </c>
      <c r="I19" s="1"/>
    </row>
    <row r="20" spans="1:9" x14ac:dyDescent="0.25">
      <c r="A20" s="1"/>
      <c r="B20" s="102" t="s">
        <v>104</v>
      </c>
      <c r="C20" s="103"/>
      <c r="D20" s="104"/>
      <c r="E20" s="17">
        <f>SUM(E17:E18)*(1+Prisudvikling2018)</f>
        <v>-46016878.392707564</v>
      </c>
      <c r="F20" s="25" t="s">
        <v>3</v>
      </c>
      <c r="G20" s="17">
        <f>E20</f>
        <v>-46016878.392707564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168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107</v>
      </c>
      <c r="C25" s="109"/>
      <c r="D25" s="110"/>
      <c r="E25" s="11">
        <f>IF(E12&lt;0,E20+E12,IF(E20+E12&lt;0,E20+E12,IF(E20&lt;0,0,E20)))</f>
        <v>-87667166.336565942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99</v>
      </c>
      <c r="C26" s="109"/>
      <c r="D26" s="110"/>
      <c r="E26" s="11">
        <v>4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108</v>
      </c>
      <c r="C27" s="109"/>
      <c r="D27" s="110"/>
      <c r="E27" s="11">
        <f>E25/E26</f>
        <v>-21916791.584141485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106</v>
      </c>
      <c r="C28" s="106"/>
      <c r="D28" s="107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166</v>
      </c>
      <c r="C29" s="94"/>
      <c r="D29" s="94"/>
      <c r="E29" s="94"/>
      <c r="F29" s="95"/>
      <c r="G29" s="20">
        <f>E27</f>
        <v>-21916791.584141485</v>
      </c>
      <c r="H29" s="21" t="s">
        <v>3</v>
      </c>
      <c r="I29" s="1"/>
    </row>
    <row r="30" spans="1:9" x14ac:dyDescent="0.25">
      <c r="A30" s="1"/>
      <c r="B30" s="93" t="s">
        <v>167</v>
      </c>
      <c r="C30" s="94"/>
      <c r="D30" s="94"/>
      <c r="E30" s="94"/>
      <c r="F30" s="95"/>
      <c r="G30" s="20">
        <f>G29*(1+Prisudvikling2019)^2</f>
        <v>-22663838.794529811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139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91</v>
      </c>
      <c r="H9" s="36"/>
      <c r="I9" s="1"/>
    </row>
    <row r="10" spans="1:9" ht="26.25" x14ac:dyDescent="0.25">
      <c r="A10" s="1"/>
      <c r="B10" s="60" t="s">
        <v>152</v>
      </c>
      <c r="C10" s="61">
        <v>50</v>
      </c>
      <c r="D10" s="11">
        <v>133863098.59999999</v>
      </c>
      <c r="E10" s="11">
        <f>D10/C10</f>
        <v>2677261.9720000001</v>
      </c>
      <c r="F10" s="11">
        <v>0</v>
      </c>
      <c r="G10" s="11">
        <v>0</v>
      </c>
      <c r="H10" s="22" t="s">
        <v>3</v>
      </c>
      <c r="I10" s="1"/>
    </row>
    <row r="11" spans="1:9" ht="26.25" x14ac:dyDescent="0.25">
      <c r="A11" s="1"/>
      <c r="B11" s="60" t="s">
        <v>153</v>
      </c>
      <c r="C11" s="61">
        <v>75</v>
      </c>
      <c r="D11" s="11">
        <v>11381126.710000001</v>
      </c>
      <c r="E11" s="11">
        <f t="shared" ref="E11:E22" si="0">D11/C11</f>
        <v>151748.35613333335</v>
      </c>
      <c r="F11" s="11">
        <v>0</v>
      </c>
      <c r="G11" s="11">
        <v>0</v>
      </c>
      <c r="H11" s="22" t="s">
        <v>3</v>
      </c>
      <c r="I11" s="1"/>
    </row>
    <row r="12" spans="1:9" x14ac:dyDescent="0.25">
      <c r="A12" s="1"/>
      <c r="B12" s="60" t="s">
        <v>154</v>
      </c>
      <c r="C12" s="61">
        <v>5</v>
      </c>
      <c r="D12" s="11">
        <v>481888.56</v>
      </c>
      <c r="E12" s="11">
        <f t="shared" si="0"/>
        <v>96377.712</v>
      </c>
      <c r="F12" s="11">
        <v>0</v>
      </c>
      <c r="G12" s="11">
        <v>0</v>
      </c>
      <c r="H12" s="22" t="s">
        <v>3</v>
      </c>
      <c r="I12" s="1"/>
    </row>
    <row r="13" spans="1:9" ht="26.25" x14ac:dyDescent="0.25">
      <c r="A13" s="1"/>
      <c r="B13" s="60" t="s">
        <v>155</v>
      </c>
      <c r="C13" s="61">
        <v>75</v>
      </c>
      <c r="D13" s="11">
        <v>27006</v>
      </c>
      <c r="E13" s="11">
        <f t="shared" si="0"/>
        <v>360.08</v>
      </c>
      <c r="F13" s="11">
        <v>0</v>
      </c>
      <c r="G13" s="11">
        <v>0</v>
      </c>
      <c r="H13" s="22" t="s">
        <v>3</v>
      </c>
      <c r="I13" s="1"/>
    </row>
    <row r="14" spans="1:9" ht="26.25" x14ac:dyDescent="0.25">
      <c r="A14" s="1"/>
      <c r="B14" s="60" t="s">
        <v>155</v>
      </c>
      <c r="C14" s="61">
        <v>75</v>
      </c>
      <c r="D14" s="11">
        <v>4832636</v>
      </c>
      <c r="E14" s="11">
        <f t="shared" si="0"/>
        <v>64435.146666666667</v>
      </c>
      <c r="F14" s="11">
        <v>0</v>
      </c>
      <c r="G14" s="11">
        <v>0</v>
      </c>
      <c r="H14" s="22" t="s">
        <v>3</v>
      </c>
      <c r="I14" s="1"/>
    </row>
    <row r="15" spans="1:9" ht="39" x14ac:dyDescent="0.25">
      <c r="A15" s="1"/>
      <c r="B15" s="60" t="s">
        <v>156</v>
      </c>
      <c r="C15" s="61">
        <v>25</v>
      </c>
      <c r="D15" s="11">
        <v>3704464.31</v>
      </c>
      <c r="E15" s="11">
        <f t="shared" si="0"/>
        <v>148178.5724</v>
      </c>
      <c r="F15" s="11">
        <v>0</v>
      </c>
      <c r="G15" s="11">
        <v>0</v>
      </c>
      <c r="H15" s="22" t="s">
        <v>3</v>
      </c>
      <c r="I15" s="1"/>
    </row>
    <row r="16" spans="1:9" ht="39" x14ac:dyDescent="0.25">
      <c r="A16" s="1"/>
      <c r="B16" s="60" t="s">
        <v>157</v>
      </c>
      <c r="C16" s="61">
        <v>30</v>
      </c>
      <c r="D16" s="11">
        <v>998462.35</v>
      </c>
      <c r="E16" s="11">
        <f t="shared" si="0"/>
        <v>33282.078333333331</v>
      </c>
      <c r="F16" s="11">
        <v>0</v>
      </c>
      <c r="G16" s="11">
        <v>0</v>
      </c>
      <c r="H16" s="22" t="s">
        <v>3</v>
      </c>
      <c r="I16" s="1"/>
    </row>
    <row r="17" spans="1:9" x14ac:dyDescent="0.25">
      <c r="A17" s="1"/>
      <c r="B17" s="60" t="s">
        <v>158</v>
      </c>
      <c r="C17" s="61">
        <v>10</v>
      </c>
      <c r="D17" s="11">
        <v>2249234.25</v>
      </c>
      <c r="E17" s="11">
        <f t="shared" si="0"/>
        <v>224923.42499999999</v>
      </c>
      <c r="F17" s="11">
        <v>0</v>
      </c>
      <c r="G17" s="11">
        <v>0</v>
      </c>
      <c r="H17" s="22" t="s">
        <v>3</v>
      </c>
      <c r="I17" s="1"/>
    </row>
    <row r="18" spans="1:9" ht="26.25" x14ac:dyDescent="0.25">
      <c r="A18" s="1"/>
      <c r="B18" s="60" t="s">
        <v>159</v>
      </c>
      <c r="C18" s="61">
        <v>10</v>
      </c>
      <c r="D18" s="11">
        <v>891695.23</v>
      </c>
      <c r="E18" s="11">
        <f t="shared" si="0"/>
        <v>89169.523000000001</v>
      </c>
      <c r="F18" s="11">
        <v>0</v>
      </c>
      <c r="G18" s="11">
        <v>0</v>
      </c>
      <c r="H18" s="22" t="s">
        <v>3</v>
      </c>
      <c r="I18" s="1"/>
    </row>
    <row r="19" spans="1:9" ht="39" x14ac:dyDescent="0.25">
      <c r="A19" s="1"/>
      <c r="B19" s="60" t="s">
        <v>160</v>
      </c>
      <c r="C19" s="61">
        <v>10</v>
      </c>
      <c r="D19" s="11">
        <v>4355371.99</v>
      </c>
      <c r="E19" s="11">
        <f t="shared" si="0"/>
        <v>435537.19900000002</v>
      </c>
      <c r="F19" s="11">
        <v>0</v>
      </c>
      <c r="G19" s="11">
        <v>0</v>
      </c>
      <c r="H19" s="22" t="s">
        <v>3</v>
      </c>
      <c r="I19" s="1"/>
    </row>
    <row r="20" spans="1:9" ht="26.25" x14ac:dyDescent="0.25">
      <c r="A20" s="1"/>
      <c r="B20" s="60" t="s">
        <v>155</v>
      </c>
      <c r="C20" s="61">
        <v>75</v>
      </c>
      <c r="D20" s="11">
        <v>8201675</v>
      </c>
      <c r="E20" s="11">
        <f t="shared" si="0"/>
        <v>109355.66666666667</v>
      </c>
      <c r="F20" s="11">
        <v>0</v>
      </c>
      <c r="G20" s="11">
        <v>0</v>
      </c>
      <c r="H20" s="22" t="s">
        <v>3</v>
      </c>
      <c r="I20" s="1"/>
    </row>
    <row r="21" spans="1:9" x14ac:dyDescent="0.25">
      <c r="A21" s="1"/>
      <c r="B21" s="60" t="s">
        <v>161</v>
      </c>
      <c r="C21" s="61">
        <v>75</v>
      </c>
      <c r="D21" s="11">
        <v>196025.14</v>
      </c>
      <c r="E21" s="11">
        <f t="shared" si="0"/>
        <v>2613.6685333333335</v>
      </c>
      <c r="F21" s="11">
        <v>0</v>
      </c>
      <c r="G21" s="11">
        <v>0</v>
      </c>
      <c r="H21" s="22" t="s">
        <v>3</v>
      </c>
      <c r="I21" s="1"/>
    </row>
    <row r="22" spans="1:9" ht="26.25" x14ac:dyDescent="0.25">
      <c r="A22" s="1"/>
      <c r="B22" s="60" t="s">
        <v>162</v>
      </c>
      <c r="C22" s="61">
        <v>15</v>
      </c>
      <c r="D22" s="11">
        <v>440078</v>
      </c>
      <c r="E22" s="11">
        <f t="shared" si="0"/>
        <v>29338.533333333333</v>
      </c>
      <c r="F22" s="11">
        <v>0</v>
      </c>
      <c r="G22" s="11">
        <v>0</v>
      </c>
      <c r="H22" s="22" t="s">
        <v>3</v>
      </c>
      <c r="I22" s="1"/>
    </row>
    <row r="23" spans="1:9" ht="26.25" x14ac:dyDescent="0.25">
      <c r="A23" s="1"/>
      <c r="B23" s="60" t="s">
        <v>163</v>
      </c>
      <c r="C23" s="61">
        <v>75</v>
      </c>
      <c r="D23" s="11">
        <v>562618.57999999996</v>
      </c>
      <c r="E23" s="11">
        <f t="shared" ref="E23:E24" si="1">D23/C23</f>
        <v>7501.5810666666657</v>
      </c>
      <c r="F23" s="11">
        <v>0</v>
      </c>
      <c r="G23" s="11">
        <v>0</v>
      </c>
      <c r="H23" s="22" t="s">
        <v>3</v>
      </c>
      <c r="I23" s="1"/>
    </row>
    <row r="24" spans="1:9" ht="39" x14ac:dyDescent="0.25">
      <c r="A24" s="1"/>
      <c r="B24" s="60" t="s">
        <v>157</v>
      </c>
      <c r="C24" s="61">
        <v>30</v>
      </c>
      <c r="D24" s="11">
        <v>400725.24</v>
      </c>
      <c r="E24" s="11">
        <f t="shared" si="1"/>
        <v>13357.508</v>
      </c>
      <c r="F24" s="11">
        <v>0</v>
      </c>
      <c r="G24" s="11">
        <v>0</v>
      </c>
      <c r="H24" s="22" t="s">
        <v>3</v>
      </c>
      <c r="I24" s="1"/>
    </row>
    <row r="25" spans="1:9" x14ac:dyDescent="0.25">
      <c r="A25" s="1"/>
      <c r="B25" s="93" t="s">
        <v>140</v>
      </c>
      <c r="C25" s="94"/>
      <c r="D25" s="95"/>
      <c r="E25" s="20">
        <f>SUM(E10:E24)</f>
        <v>4083441.0221333322</v>
      </c>
      <c r="F25" s="20">
        <f t="shared" ref="F25:G25" si="2">SUM(F10:F24)</f>
        <v>0</v>
      </c>
      <c r="G25" s="20">
        <f t="shared" si="2"/>
        <v>0</v>
      </c>
      <c r="H25" s="21" t="s">
        <v>3</v>
      </c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</sheetData>
  <sheetProtection password="DFE9" sheet="1" objects="1" scenarios="1"/>
  <mergeCells count="3">
    <mergeCell ref="B3:H4"/>
    <mergeCell ref="B25:D2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94</v>
      </c>
      <c r="G9" s="36"/>
      <c r="H9" s="1"/>
    </row>
    <row r="10" spans="1:8" x14ac:dyDescent="0.25">
      <c r="A10" s="1"/>
      <c r="B10" s="56" t="s">
        <v>139</v>
      </c>
      <c r="C10" s="57"/>
      <c r="D10" s="53">
        <f>'Fane 10. Anlægsprojekter'!F25</f>
        <v>0</v>
      </c>
      <c r="E10" s="22" t="s">
        <v>3</v>
      </c>
      <c r="F10" s="11">
        <f>SUM('Fane 10. Anlægsprojekter'!E25,'Fane 10. Anlægsprojekter'!G25)</f>
        <v>4083441.0221333322</v>
      </c>
      <c r="G10" s="22" t="s">
        <v>3</v>
      </c>
      <c r="H10" s="1"/>
    </row>
    <row r="11" spans="1:8" x14ac:dyDescent="0.25">
      <c r="A11" s="1"/>
      <c r="B11" s="41" t="s">
        <v>141</v>
      </c>
      <c r="C11" s="43"/>
      <c r="D11" s="20">
        <f>SUM(D10:D10)</f>
        <v>0</v>
      </c>
      <c r="E11" s="21" t="s">
        <v>3</v>
      </c>
      <c r="F11" s="20">
        <f>SUM(F10:F10)</f>
        <v>4083441.0221333322</v>
      </c>
      <c r="G11" s="21" t="s">
        <v>3</v>
      </c>
      <c r="H11" s="1"/>
    </row>
    <row r="12" spans="1:8" x14ac:dyDescent="0.25">
      <c r="A12" s="1"/>
      <c r="B12" s="41" t="s">
        <v>142</v>
      </c>
      <c r="C12" s="43"/>
      <c r="D12" s="20">
        <f>D11*(1+Prisudvikling2019)</f>
        <v>0</v>
      </c>
      <c r="E12" s="21" t="s">
        <v>3</v>
      </c>
      <c r="F12" s="20">
        <f>F11*(1+Prisudvikling2019)</f>
        <v>4152451.175407385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150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94</v>
      </c>
      <c r="G9" s="36"/>
      <c r="H9" s="1"/>
    </row>
    <row r="10" spans="1:8" x14ac:dyDescent="0.25">
      <c r="A10" s="1"/>
      <c r="B10" s="56" t="s">
        <v>149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143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144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151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49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50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51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55</v>
      </c>
      <c r="C9" s="7">
        <f>'Fane 3. Omkostninger i ØR2018'!G11</f>
        <v>303584296.48173469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72</v>
      </c>
      <c r="C10" s="7">
        <f>'Fane 4. Korrigeret grundlag'!F22</f>
        <v>-388407.97529473592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71</v>
      </c>
      <c r="C11" s="7">
        <f>'Fane 4. Korrigeret grundlag'!F23</f>
        <v>-1877509.0809441216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76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75</v>
      </c>
      <c r="C13" s="11">
        <f>'Fane 11. Tillæg'!F12</f>
        <v>4152451.175407385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78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77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5162457.037155265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0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69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-3850023.4548542374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70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-1032970.7644715302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305750293.41873276</v>
      </c>
      <c r="D20" s="18" t="s">
        <v>3</v>
      </c>
      <c r="E20" s="17">
        <f>C20</f>
        <v>305750293.41873276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omk.'!E16</f>
        <v>248454029.98719102</v>
      </c>
      <c r="D22" s="18" t="s">
        <v>3</v>
      </c>
      <c r="E22" s="17">
        <f>C22</f>
        <v>248454029.98719102</v>
      </c>
      <c r="F22" s="18" t="s">
        <v>3</v>
      </c>
      <c r="G22" s="1"/>
    </row>
    <row r="23" spans="1:7" ht="15" customHeight="1" x14ac:dyDescent="0.25">
      <c r="A23" s="1"/>
      <c r="B23" s="41" t="s">
        <v>83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56</v>
      </c>
      <c r="C24" s="17">
        <v>1218523.6240003284</v>
      </c>
      <c r="D24" s="18" t="s">
        <v>3</v>
      </c>
      <c r="E24" s="17">
        <f>C24</f>
        <v>1218523.6240003284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107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109</v>
      </c>
      <c r="C28" s="17">
        <f>'Fane 9. Kontrol af ØR2017'!G30</f>
        <v>-22663838.794529811</v>
      </c>
      <c r="D28" s="18" t="s">
        <v>3</v>
      </c>
      <c r="E28" s="17">
        <f>C28</f>
        <v>-22663838.794529811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532759008.23539436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58</v>
      </c>
      <c r="C9" s="7">
        <f>'Fane 2.1. Økonomisk ramme 2019'!E20</f>
        <v>305750293.41873276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5167179.958776583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69</v>
      </c>
      <c r="C12" s="11">
        <f>('Fane 2.1. Økonomisk ramme 2019'!C18/GenereltKravDrift-'Fane 2.1. Økonomisk ramme 2019'!C18)*(1+Prisudvikling2019)*GenereltKravDrift</f>
        <v>-3836787.0742164482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70</v>
      </c>
      <c r="C13" s="11">
        <f>('Fane 2.1. Økonomisk ramme 2019'!C19/GenereltKravAnlæg-'Fane 2.1. Økonomisk ramme 2019'!C19)*(1+Prisudvikling2019)*GenereltKravAnlæg</f>
        <v>-1041289.2470486964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306039397.05624425</v>
      </c>
      <c r="D14" s="18" t="s">
        <v>3</v>
      </c>
      <c r="E14" s="17">
        <f>C14</f>
        <v>306039397.05624425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omk.'!E16*(1+Prisudvikling2019)</f>
        <v>252652903.09397453</v>
      </c>
      <c r="D16" s="18" t="s">
        <v>3</v>
      </c>
      <c r="E16" s="17">
        <f>C16</f>
        <v>252652903.09397453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107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109</v>
      </c>
      <c r="C20" s="17">
        <f>'Fane 2.1. Økonomisk ramme 2019'!C28*(1+Prisudvikling2019)</f>
        <v>-23046857.670157362</v>
      </c>
      <c r="D20" s="18" t="s">
        <v>3</v>
      </c>
      <c r="E20" s="17">
        <f>C20</f>
        <v>-23046857.670157362</v>
      </c>
      <c r="F20" s="18" t="s">
        <v>3</v>
      </c>
      <c r="G20" s="1"/>
    </row>
    <row r="21" spans="1:7" x14ac:dyDescent="0.25">
      <c r="A21" s="1"/>
      <c r="B21" s="41" t="s">
        <v>59</v>
      </c>
      <c r="C21" s="42"/>
      <c r="D21" s="43"/>
      <c r="E21" s="20">
        <f>SUM(E14,E16,E18,E20:E20)</f>
        <v>535645442.48006135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110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/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60</v>
      </c>
      <c r="C8" s="7">
        <f>'Fane 2.2. Økonomisk ramme 2020'!E14</f>
        <v>306039397.05624425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5172065.8102505272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69</v>
      </c>
      <c r="C11" s="11">
        <f>('Fane 2.2. Økonomisk ramme 2020'!C12/GenereltKravDrift-'Fane 2.2. Økonomisk ramme 2020'!C12)*(1+Prisudvikling2019)*GenereltKravDrift</f>
        <v>-3823596.2002552915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70</v>
      </c>
      <c r="C12" s="11">
        <f>('Fane 2.2. Økonomisk ramme 2020'!C13/GenereltKravAnlæg-'Fane 2.2. Økonomisk ramme 2020'!C13)*(1+Prisudvikling2019)*GenereltKravAnlæg</f>
        <v>-1049674.718116502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306338191.94812298</v>
      </c>
      <c r="D13" s="18" t="s">
        <v>3</v>
      </c>
      <c r="E13" s="17">
        <f>C13</f>
        <v>306338191.94812298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omk.'!E16*(1+Prisudvikling2019)^2</f>
        <v>256922737.15626267</v>
      </c>
      <c r="D15" s="18" t="s">
        <v>3</v>
      </c>
      <c r="E15" s="17">
        <f>C15</f>
        <v>256922737.15626267</v>
      </c>
      <c r="F15" s="18" t="s">
        <v>3</v>
      </c>
      <c r="G15" s="1"/>
    </row>
    <row r="16" spans="1:7" ht="15" customHeight="1" x14ac:dyDescent="0.25">
      <c r="A16" s="1"/>
      <c r="B16" s="41" t="s">
        <v>107</v>
      </c>
      <c r="C16" s="42"/>
      <c r="D16" s="42"/>
      <c r="E16" s="42"/>
      <c r="F16" s="43"/>
      <c r="G16" s="1"/>
    </row>
    <row r="17" spans="1:7" ht="15" customHeight="1" x14ac:dyDescent="0.25">
      <c r="A17" s="1"/>
      <c r="B17" s="29" t="s">
        <v>109</v>
      </c>
      <c r="C17" s="17">
        <f>'Fane 2.2. Økonomisk ramme 2020'!E20*(1+Prisudvikling2019)</f>
        <v>-23436349.564783018</v>
      </c>
      <c r="D17" s="18" t="s">
        <v>3</v>
      </c>
      <c r="E17" s="17">
        <f>C17</f>
        <v>-23436349.564783018</v>
      </c>
      <c r="F17" s="18" t="s">
        <v>3</v>
      </c>
      <c r="G17" s="1"/>
    </row>
    <row r="18" spans="1:7" x14ac:dyDescent="0.25">
      <c r="A18" s="1"/>
      <c r="B18" s="41" t="s">
        <v>81</v>
      </c>
      <c r="C18" s="42"/>
      <c r="D18" s="43"/>
      <c r="E18" s="20">
        <f>SUM(E13,E15,E17)</f>
        <v>539824579.53960264</v>
      </c>
      <c r="F18" s="2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/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66</v>
      </c>
      <c r="C8" s="7">
        <f>'Fane 2.3. Økonomisk ramme 2021'!E13</f>
        <v>306338191.94812298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5177115.4439232778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69</v>
      </c>
      <c r="C11" s="11">
        <f>('Fane 2.3. Økonomisk ramme 2021'!C11/GenereltKravDrift-'Fane 2.3. Økonomisk ramme 2021'!C11)*(1+Prisudvikling2019)*GenereltKravDrift</f>
        <v>-3810450.6765188132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70</v>
      </c>
      <c r="C12" s="11">
        <f>('Fane 2.3. Økonomisk ramme 2021'!C12/GenereltKravAnlæg-'Fane 2.3. Økonomisk ramme 2021'!C12)*(1+Prisudvikling2019)*GenereltKravAnlæg</f>
        <v>-1058127.7171312526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306646728.99839622</v>
      </c>
      <c r="D13" s="18" t="s">
        <v>3</v>
      </c>
      <c r="E13" s="17">
        <f>C13</f>
        <v>306646728.99839622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omk.'!E16*(1+Prisudvikling2019)^3</f>
        <v>261264731.41420346</v>
      </c>
      <c r="D15" s="18" t="s">
        <v>3</v>
      </c>
      <c r="E15" s="17">
        <f>C15</f>
        <v>261264731.41420346</v>
      </c>
      <c r="F15" s="18" t="s">
        <v>3</v>
      </c>
      <c r="G15" s="1"/>
    </row>
    <row r="16" spans="1:7" ht="15" customHeight="1" x14ac:dyDescent="0.25">
      <c r="A16" s="1"/>
      <c r="B16" s="41" t="s">
        <v>107</v>
      </c>
      <c r="C16" s="42"/>
      <c r="D16" s="42"/>
      <c r="E16" s="42"/>
      <c r="F16" s="43"/>
      <c r="G16" s="1"/>
    </row>
    <row r="17" spans="1:7" ht="15" customHeight="1" x14ac:dyDescent="0.25">
      <c r="A17" s="1"/>
      <c r="B17" s="29" t="s">
        <v>109</v>
      </c>
      <c r="C17" s="17">
        <f>'Fane 2.3. Økonomisk ramme 2021'!E17*(1+Prisudvikling2019)</f>
        <v>-23832423.872427847</v>
      </c>
      <c r="D17" s="18" t="s">
        <v>3</v>
      </c>
      <c r="E17" s="17">
        <f>C17</f>
        <v>-23832423.872427847</v>
      </c>
      <c r="F17" s="18" t="s">
        <v>3</v>
      </c>
      <c r="G17" s="1"/>
    </row>
    <row r="18" spans="1:7" x14ac:dyDescent="0.25">
      <c r="A18" s="1"/>
      <c r="B18" s="41" t="s">
        <v>82</v>
      </c>
      <c r="C18" s="42"/>
      <c r="D18" s="43"/>
      <c r="E18" s="20">
        <f>SUM(E13,E15,E17)</f>
        <v>544079036.54017186</v>
      </c>
      <c r="F18" s="2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112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55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547685098.33427179</v>
      </c>
      <c r="H9" s="22" t="s">
        <v>3</v>
      </c>
      <c r="I9" s="1"/>
    </row>
    <row r="10" spans="1:9" x14ac:dyDescent="0.25">
      <c r="A10" s="1"/>
      <c r="B10" s="50" t="s">
        <v>54</v>
      </c>
      <c r="C10" s="48"/>
      <c r="D10" s="48"/>
      <c r="E10" s="48"/>
      <c r="F10" s="49"/>
      <c r="G10" s="11">
        <v>244100801.8525371</v>
      </c>
      <c r="H10" s="22" t="s">
        <v>3</v>
      </c>
      <c r="I10" s="1"/>
    </row>
    <row r="11" spans="1:9" ht="15" customHeight="1" x14ac:dyDescent="0.25">
      <c r="A11" s="1"/>
      <c r="B11" s="41" t="s">
        <v>55</v>
      </c>
      <c r="C11" s="51"/>
      <c r="D11" s="51"/>
      <c r="E11" s="51"/>
      <c r="F11" s="52"/>
      <c r="G11" s="33">
        <f>G9-G10</f>
        <v>303584296.48173469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129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61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62</v>
      </c>
      <c r="C9" s="91"/>
      <c r="D9" s="91"/>
      <c r="E9" s="92"/>
      <c r="F9" s="11">
        <v>195034903.28610891</v>
      </c>
      <c r="G9" s="22" t="s">
        <v>3</v>
      </c>
      <c r="H9" s="1"/>
      <c r="I9" s="1"/>
    </row>
    <row r="10" spans="1:9" x14ac:dyDescent="0.25">
      <c r="A10" s="1"/>
      <c r="B10" s="90" t="s">
        <v>63</v>
      </c>
      <c r="C10" s="91"/>
      <c r="D10" s="91"/>
      <c r="E10" s="92"/>
      <c r="F10" s="11">
        <v>115134297.26136479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68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194652950.31600887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113287990.76028885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73</v>
      </c>
      <c r="E21" s="36"/>
      <c r="F21" s="46" t="s">
        <v>74</v>
      </c>
      <c r="G21" s="36"/>
      <c r="H21" s="1"/>
      <c r="I21" s="1"/>
    </row>
    <row r="22" spans="1:9" x14ac:dyDescent="0.25">
      <c r="A22" s="1"/>
      <c r="B22" s="96" t="s">
        <v>64</v>
      </c>
      <c r="C22" s="97"/>
      <c r="D22" s="53">
        <f>F15-F9</f>
        <v>-381952.9701000452</v>
      </c>
      <c r="E22" s="22" t="s">
        <v>3</v>
      </c>
      <c r="F22" s="11">
        <f>D22*(1+Prisudvikling2019)</f>
        <v>-388407.97529473592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65</v>
      </c>
      <c r="C23" s="97"/>
      <c r="D23" s="53">
        <f>F16-F10</f>
        <v>-1846306.5010759383</v>
      </c>
      <c r="E23" s="22" t="s">
        <v>3</v>
      </c>
      <c r="F23" s="11">
        <f>D23*(1+Prisudvikling2019)</f>
        <v>-1877509.0809441216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96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135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130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67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95</v>
      </c>
      <c r="C9" s="30"/>
      <c r="D9" s="36"/>
      <c r="E9" s="18" t="s">
        <v>53</v>
      </c>
      <c r="F9" s="18"/>
      <c r="G9" s="1"/>
      <c r="H9" s="1"/>
    </row>
    <row r="10" spans="1:8" x14ac:dyDescent="0.25">
      <c r="A10" s="1"/>
      <c r="B10" s="44" t="s">
        <v>164</v>
      </c>
      <c r="C10" s="48"/>
      <c r="D10" s="49"/>
      <c r="E10" s="11">
        <v>199515487</v>
      </c>
      <c r="F10" s="22" t="s">
        <v>3</v>
      </c>
      <c r="G10" s="1"/>
      <c r="H10" s="1"/>
    </row>
    <row r="11" spans="1:8" x14ac:dyDescent="0.25">
      <c r="A11" s="1"/>
      <c r="B11" s="44" t="s">
        <v>146</v>
      </c>
      <c r="C11" s="48"/>
      <c r="D11" s="49"/>
      <c r="E11" s="11">
        <v>445469</v>
      </c>
      <c r="F11" s="22" t="s">
        <v>3</v>
      </c>
      <c r="G11" s="1"/>
      <c r="H11" s="1"/>
    </row>
    <row r="12" spans="1:8" x14ac:dyDescent="0.25">
      <c r="A12" s="1"/>
      <c r="B12" s="44" t="s">
        <v>147</v>
      </c>
      <c r="C12" s="48"/>
      <c r="D12" s="49"/>
      <c r="E12" s="11">
        <v>1926785</v>
      </c>
      <c r="F12" s="22" t="s">
        <v>3</v>
      </c>
      <c r="G12" s="1"/>
      <c r="H12" s="1"/>
    </row>
    <row r="13" spans="1:8" x14ac:dyDescent="0.25">
      <c r="A13" s="1"/>
      <c r="B13" s="44" t="s">
        <v>165</v>
      </c>
      <c r="C13" s="48"/>
      <c r="D13" s="49"/>
      <c r="E13" s="11">
        <v>38009460</v>
      </c>
      <c r="F13" s="22" t="s">
        <v>3</v>
      </c>
      <c r="G13" s="1"/>
      <c r="H13" s="1"/>
    </row>
    <row r="14" spans="1:8" x14ac:dyDescent="0.25">
      <c r="A14" s="1"/>
      <c r="B14" s="44" t="s">
        <v>148</v>
      </c>
      <c r="C14" s="48"/>
      <c r="D14" s="49"/>
      <c r="E14" s="11">
        <v>367268</v>
      </c>
      <c r="F14" s="22" t="s">
        <v>3</v>
      </c>
      <c r="G14" s="1"/>
      <c r="H14" s="1"/>
    </row>
    <row r="15" spans="1:8" x14ac:dyDescent="0.25">
      <c r="A15" s="1"/>
      <c r="B15" s="41" t="s">
        <v>136</v>
      </c>
      <c r="C15" s="42"/>
      <c r="D15" s="43"/>
      <c r="E15" s="20">
        <f>SUM(E10:E14)</f>
        <v>240264469</v>
      </c>
      <c r="F15" s="21" t="s">
        <v>3</v>
      </c>
      <c r="G15" s="1"/>
      <c r="H15" s="1"/>
    </row>
    <row r="16" spans="1:8" x14ac:dyDescent="0.25">
      <c r="A16" s="1"/>
      <c r="B16" s="41" t="s">
        <v>137</v>
      </c>
      <c r="C16" s="42"/>
      <c r="D16" s="43"/>
      <c r="E16" s="20">
        <f>E15*(1+Prisudvikling2019)^2</f>
        <v>248454029.98719102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113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0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79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2018-10-12T13:37:32Z</dcterms:modified>
</cp:coreProperties>
</file>