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989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10" i="19" l="1"/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C22" i="2" l="1"/>
  <c r="C23" i="2" l="1"/>
  <c r="C24" i="2" s="1"/>
  <c r="E24" i="2" s="1"/>
  <c r="E28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32" i="2" s="1"/>
  <c r="G12" i="32"/>
  <c r="C20" i="15" l="1"/>
  <c r="E20" i="15" s="1"/>
  <c r="E32" i="2"/>
  <c r="C18" i="15"/>
  <c r="G12" i="30" l="1"/>
  <c r="G10" i="30"/>
  <c r="F55" i="11"/>
  <c r="D10" i="20" s="1"/>
  <c r="G55" i="11"/>
  <c r="D23" i="7" l="1"/>
  <c r="F23" i="7" s="1"/>
  <c r="C11" i="2" s="1"/>
  <c r="D22" i="7"/>
  <c r="F22" i="7" s="1"/>
  <c r="C10" i="2" s="1"/>
  <c r="G11" i="27" l="1"/>
  <c r="E18" i="15" l="1"/>
  <c r="D12" i="20"/>
  <c r="F11" i="21"/>
  <c r="F12" i="21" s="1"/>
  <c r="C15" i="2" s="1"/>
  <c r="D11" i="21"/>
  <c r="D12" i="21" s="1"/>
  <c r="C14" i="2" s="1"/>
  <c r="C9" i="2"/>
  <c r="E16" i="19"/>
  <c r="E17" i="19" s="1"/>
  <c r="C26" i="2" l="1"/>
  <c r="E26" i="2" s="1"/>
  <c r="C15" i="22"/>
  <c r="E15" i="22" s="1"/>
  <c r="C15" i="23"/>
  <c r="E15" i="23" s="1"/>
  <c r="C16" i="15"/>
  <c r="E16" i="15" s="1"/>
  <c r="G13" i="10"/>
  <c r="G11" i="10" l="1"/>
  <c r="E54" i="11" l="1"/>
  <c r="D13" i="20" l="1"/>
  <c r="C12" i="2" s="1"/>
  <c r="C18" i="2" s="1"/>
  <c r="C12" i="15" l="1"/>
  <c r="C11" i="22" s="1"/>
  <c r="C11" i="23" s="1"/>
  <c r="E53" i="11"/>
  <c r="E10" i="11" l="1"/>
  <c r="E55" i="11" s="1"/>
  <c r="F10" i="20" s="1"/>
  <c r="F12" i="20" s="1"/>
  <c r="F13" i="20" s="1"/>
  <c r="C13" i="2" s="1"/>
  <c r="C19" i="2" s="1"/>
  <c r="C30" i="2"/>
  <c r="E30" i="2" s="1"/>
  <c r="C13" i="15" l="1"/>
  <c r="C12" i="22" s="1"/>
  <c r="C12" i="23" s="1"/>
  <c r="C16" i="2"/>
  <c r="C17" i="2" s="1"/>
  <c r="C20" i="2" l="1"/>
  <c r="E20" i="2" s="1"/>
  <c r="E33" i="2" s="1"/>
  <c r="C9" i="15" l="1"/>
  <c r="C10" i="15" l="1"/>
  <c r="C11" i="15" s="1"/>
  <c r="C14" i="15" l="1"/>
  <c r="E14" i="15" s="1"/>
  <c r="E21" i="15" s="1"/>
  <c r="C8" i="22" l="1"/>
  <c r="C9" i="22" s="1"/>
  <c r="C10" i="22" s="1"/>
  <c r="C13" i="22" l="1"/>
  <c r="E13" i="22" s="1"/>
  <c r="E16" i="22" s="1"/>
  <c r="C8" i="23" l="1"/>
  <c r="C9" i="23" s="1"/>
  <c r="C10" i="23" s="1"/>
  <c r="C13" i="23" l="1"/>
  <c r="E13" i="23" s="1"/>
  <c r="E16" i="23" s="1"/>
</calcChain>
</file>

<file path=xl/sharedStrings.xml><?xml version="1.0" encoding="utf-8"?>
<sst xmlns="http://schemas.openxmlformats.org/spreadsheetml/2006/main" count="411" uniqueCount="193">
  <si>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</si>
  <si>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</si>
  <si>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</si>
  <si>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</si>
  <si>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</si>
  <si>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</si>
  <si>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</si>
  <si>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</si>
  <si>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</si>
  <si>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</si>
  <si>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</si>
  <si>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</si>
  <si>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</si>
  <si>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</si>
  <si>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</si>
  <si>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</si>
  <si>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</si>
  <si>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</si>
  <si>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</si>
  <si>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</si>
  <si>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</si>
  <si>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</si>
  <si>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</si>
  <si>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</si>
  <si>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</si>
  <si>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</si>
  <si>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</si>
  <si>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</si>
  <si>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</si>
  <si>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</si>
  <si>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</si>
  <si>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</si>
  <si>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</si>
  <si>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</si>
  <si>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</si>
  <si>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</si>
  <si>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</si>
  <si>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</si>
  <si>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</si>
  <si>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</si>
  <si>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</si>
  <si>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</si>
  <si>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</si>
  <si>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</si>
  <si>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</si>
  <si>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</si>
  <si>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</si>
  <si>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</si>
  <si>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</si>
  <si>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</si>
  <si>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</si>
  <si>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</si>
  <si>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</si>
  <si>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</si>
  <si>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</si>
  <si>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</si>
  <si>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</si>
  <si>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</si>
  <si>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</si>
  <si>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</si>
  <si>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</si>
  <si>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</si>
  <si>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</si>
  <si>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</si>
  <si>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</si>
  <si>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</si>
  <si>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</si>
  <si>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</si>
  <si>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</si>
  <si>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</si>
  <si>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</si>
  <si>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</si>
  <si>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</si>
  <si>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</si>
  <si>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</si>
  <si>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</si>
  <si>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</si>
  <si>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</si>
  <si>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</si>
  <si>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</si>
  <si>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</si>
  <si>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</si>
  <si>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</si>
  <si>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</si>
  <si>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</si>
  <si>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</si>
  <si>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</si>
  <si>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</si>
  <si>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</si>
  <si>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</si>
  <si>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</si>
  <si>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</si>
  <si>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</si>
  <si>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</si>
  <si>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</si>
  <si>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</si>
  <si>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</si>
  <si>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</si>
  <si>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</si>
  <si>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</si>
  <si>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</si>
  <si>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</si>
  <si>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</si>
  <si>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</si>
  <si>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</si>
  <si>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</si>
  <si>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</si>
  <si>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</si>
  <si>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</si>
  <si>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</si>
  <si>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</si>
  <si>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</si>
  <si>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</si>
  <si>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</si>
  <si>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</si>
  <si>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</si>
  <si>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</si>
  <si>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</si>
  <si>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</si>
  <si>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</si>
  <si>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</si>
  <si>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</si>
  <si>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</si>
  <si>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</si>
  <si>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</si>
  <si>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</si>
  <si>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</si>
  <si>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</si>
  <si>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</si>
  <si>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</si>
  <si>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</si>
  <si>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</si>
  <si>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</si>
  <si>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</si>
  <si>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</si>
  <si>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</si>
  <si>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</si>
  <si>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</si>
  <si>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</si>
  <si>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</si>
  <si>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</si>
  <si>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</si>
  <si>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</si>
  <si>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</si>
  <si>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</si>
  <si>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</si>
  <si>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</si>
  <si>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</si>
  <si>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</si>
  <si>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</si>
  <si>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</si>
  <si>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Køb af ydelser og produkter fra andre vandselskaber reguleret af vandsektorloven</t>
  </si>
  <si>
    <t>Skatter og afgifter</t>
  </si>
  <si>
    <t>Ingen bortfald eller nedsættelse</t>
  </si>
  <si>
    <t xml:space="preserve">Overtagelse af Svebølle </t>
  </si>
  <si>
    <t>Engangstillæg</t>
  </si>
  <si>
    <t>Tillæg som bortfalder i den økonomiske ramme for 2020</t>
  </si>
  <si>
    <t>Effektiviseringskrav</t>
  </si>
  <si>
    <t>Engangstillæg i alt</t>
  </si>
  <si>
    <t>Fane 12: Bortfald eller nedsættelse af omkostninger til mål, medfinansiering eller udvidelse</t>
  </si>
  <si>
    <t>Fane 13: Nøgletal</t>
  </si>
  <si>
    <t>Ledningsnet ≤ Ø50 mm</t>
  </si>
  <si>
    <t>Skelbrønd, Konstruktioner</t>
  </si>
  <si>
    <t>Stik på ledningsnet, Konstruktioner</t>
  </si>
  <si>
    <t>Ventiler på Ø110 mm &lt; Ledningsnet ≤ Ø 250 mm</t>
  </si>
  <si>
    <t>Ventiler på Ø 50mm &lt; Ledningsnet ≤ Ø110 mm</t>
  </si>
  <si>
    <t>Ø110 mm &lt; Ledningsnet ≤ Ø 250 mm</t>
  </si>
  <si>
    <t>Ø 50mm &lt; Ledningsnet ≤ Ø110 mm</t>
  </si>
  <si>
    <t>Boring (inkl. etablering, forerør, filter og prøvepumpning)</t>
  </si>
  <si>
    <t>Instrumenter (flowmåler+tryk transducer+alarmer)</t>
  </si>
  <si>
    <t>Pumpe inkl. stigrør og forerørsforsejlinger mv.</t>
  </si>
  <si>
    <t>Beluftningsanlæg, bundbeluftbning, Kontruktioner</t>
  </si>
  <si>
    <t>Beluftningsanlæg, bundbeluftbning, Mek./EL</t>
  </si>
  <si>
    <t>Etageareal kontor og mandskabsfaciliteter</t>
  </si>
  <si>
    <t>Filteranlæg, åbne filtre, dobbelt filtrering, Mek./EL</t>
  </si>
  <si>
    <t>Rentvandsbeholder  element</t>
  </si>
  <si>
    <t>Sikring, avanceret (hegne, porte og overvågningssystemer), Mek./EL</t>
  </si>
  <si>
    <t>Skyllevandsbehandling, inkl. UV-filter mv., Mek./EL</t>
  </si>
  <si>
    <t>SRO-anlæg, vandværk</t>
  </si>
  <si>
    <t>Udpumpningsanlæg, Freqvensomformer</t>
  </si>
  <si>
    <t>Elanlæg</t>
  </si>
  <si>
    <t>Råvandsstation komplet montering og boringshus/tørbrønd</t>
  </si>
  <si>
    <t>Skyllevand-/slamhåndteringsanlæg - lukkede betonbeholdere</t>
  </si>
  <si>
    <t>SRO-brønd/kvarterbrønd/sektionsbrønd, Mek./EL</t>
  </si>
  <si>
    <t>SRO-brønd/kvarterbrønd/sektionsbrønd, SRO</t>
  </si>
  <si>
    <t>Filteranlæg, trykfiltre, enkelt filtrering</t>
  </si>
  <si>
    <t>Inspektionsbrønd, Konstruktioner</t>
  </si>
  <si>
    <t>SRO-brønd/kvarterbrønd/sektionsbrønd, Konstruktioner</t>
  </si>
  <si>
    <t>Ventiler på ledningsnet ≤ Ø50 mm</t>
  </si>
  <si>
    <t>Arbejdsplads</t>
  </si>
  <si>
    <t>Afgift for ledningsført vand</t>
  </si>
  <si>
    <t>Tjenestemandspensioner</t>
  </si>
  <si>
    <t xml:space="preserve">Ejendomsskatter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</si>
</sst>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2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25">
      <c r="A8" s="1"/>
      <c r="B8" s="1"/>
      <c r="C8" s="4"/>
      <c r="D8" s="78" t="s">
        <v>137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7" t="s">
        <v>34</v>
      </c>
      <c r="E13" s="68"/>
      <c r="F13" s="68"/>
      <c r="G13" s="69"/>
      <c r="H13" s="1"/>
      <c r="I13" s="1"/>
    </row>
    <row r="14" spans="1:9" x14ac:dyDescent="0.25">
      <c r="A14" s="1"/>
      <c r="B14" s="1"/>
      <c r="C14" s="6" t="s">
        <v>33</v>
      </c>
      <c r="D14" s="67" t="s">
        <v>120</v>
      </c>
      <c r="E14" s="68"/>
      <c r="F14" s="68"/>
      <c r="G14" s="69"/>
      <c r="H14" s="1"/>
      <c r="I14" s="1"/>
    </row>
    <row r="15" spans="1:9" x14ac:dyDescent="0.25">
      <c r="A15" s="1"/>
      <c r="B15" s="1"/>
      <c r="C15" s="6" t="s">
        <v>119</v>
      </c>
      <c r="D15" s="67" t="s">
        <v>122</v>
      </c>
      <c r="E15" s="68"/>
      <c r="F15" s="68"/>
      <c r="G15" s="69"/>
      <c r="H15" s="1"/>
      <c r="I15" s="1"/>
    </row>
    <row r="16" spans="1:9" x14ac:dyDescent="0.25">
      <c r="A16" s="1"/>
      <c r="B16" s="1"/>
      <c r="C16" s="6" t="s">
        <v>121</v>
      </c>
      <c r="D16" s="67" t="s">
        <v>138</v>
      </c>
      <c r="E16" s="68"/>
      <c r="F16" s="68"/>
      <c r="G16" s="69"/>
      <c r="H16" s="1"/>
      <c r="I16" s="1"/>
    </row>
    <row r="17" spans="1:9" x14ac:dyDescent="0.25">
      <c r="A17" s="1"/>
      <c r="B17" s="1"/>
      <c r="C17" s="6" t="s">
        <v>7</v>
      </c>
      <c r="D17" s="79" t="s">
        <v>123</v>
      </c>
      <c r="E17" s="80"/>
      <c r="F17" s="80"/>
      <c r="G17" s="81"/>
      <c r="H17" s="1"/>
      <c r="I17" s="1"/>
    </row>
    <row r="18" spans="1:9" x14ac:dyDescent="0.25">
      <c r="A18" s="1"/>
      <c r="B18" s="1"/>
      <c r="C18" s="6" t="s">
        <v>8</v>
      </c>
      <c r="D18" s="79" t="s">
        <v>131</v>
      </c>
      <c r="E18" s="80"/>
      <c r="F18" s="80"/>
      <c r="G18" s="81"/>
      <c r="H18" s="1"/>
      <c r="I18" s="1"/>
    </row>
    <row r="19" spans="1:9" x14ac:dyDescent="0.25">
      <c r="A19" s="1"/>
      <c r="B19" s="1"/>
      <c r="C19" s="6" t="s">
        <v>9</v>
      </c>
      <c r="D19" s="79" t="s">
        <v>124</v>
      </c>
      <c r="E19" s="80"/>
      <c r="F19" s="80"/>
      <c r="G19" s="81"/>
      <c r="H19" s="1"/>
      <c r="I19" s="1"/>
    </row>
    <row r="20" spans="1:9" x14ac:dyDescent="0.25">
      <c r="A20" s="1"/>
      <c r="B20" s="1"/>
      <c r="C20" s="6" t="s">
        <v>10</v>
      </c>
      <c r="D20" s="82" t="s">
        <v>132</v>
      </c>
      <c r="E20" s="83"/>
      <c r="F20" s="83"/>
      <c r="G20" s="84"/>
      <c r="H20" s="1"/>
      <c r="I20" s="1"/>
    </row>
    <row r="21" spans="1:9" x14ac:dyDescent="0.25">
      <c r="A21" s="1"/>
      <c r="B21" s="1"/>
      <c r="C21" s="6" t="s">
        <v>11</v>
      </c>
      <c r="D21" s="82" t="s">
        <v>125</v>
      </c>
      <c r="E21" s="83"/>
      <c r="F21" s="83"/>
      <c r="G21" s="84"/>
      <c r="H21" s="1"/>
      <c r="I21" s="1"/>
    </row>
    <row r="22" spans="1:9" x14ac:dyDescent="0.25">
      <c r="A22" s="1"/>
      <c r="B22" s="1"/>
      <c r="C22" s="6" t="s">
        <v>12</v>
      </c>
      <c r="D22" s="71" t="s">
        <v>127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85" t="s">
        <v>129</v>
      </c>
      <c r="E26" s="86"/>
      <c r="F26" s="86"/>
      <c r="G26" s="87"/>
      <c r="H26" s="1"/>
      <c r="I26" s="1"/>
    </row>
    <row r="27" spans="1:9" x14ac:dyDescent="0.25">
      <c r="A27" s="1"/>
      <c r="B27" s="1"/>
      <c r="C27" s="6" t="s">
        <v>130</v>
      </c>
      <c r="D27" s="85" t="s">
        <v>58</v>
      </c>
      <c r="E27" s="86"/>
      <c r="F27" s="86"/>
      <c r="G27" s="8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15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85</v>
      </c>
      <c r="C9" s="93"/>
      <c r="D9" s="93"/>
      <c r="E9" s="93"/>
      <c r="F9" s="94"/>
      <c r="G9" s="55">
        <v>225273.00243939055</v>
      </c>
      <c r="H9" s="22" t="s">
        <v>3</v>
      </c>
      <c r="I9" s="1"/>
    </row>
    <row r="10" spans="1:9" x14ac:dyDescent="0.25">
      <c r="A10" s="1"/>
      <c r="B10" s="92" t="s">
        <v>86</v>
      </c>
      <c r="C10" s="93"/>
      <c r="D10" s="93"/>
      <c r="E10" s="93"/>
      <c r="F10" s="94"/>
      <c r="G10" s="55">
        <f>G9/G17</f>
        <v>11263650.121969527</v>
      </c>
      <c r="H10" s="22" t="s">
        <v>3</v>
      </c>
      <c r="I10" s="1"/>
    </row>
    <row r="11" spans="1:9" x14ac:dyDescent="0.25">
      <c r="A11" s="1"/>
      <c r="B11" s="92" t="s">
        <v>87</v>
      </c>
      <c r="C11" s="93"/>
      <c r="D11" s="93"/>
      <c r="E11" s="93"/>
      <c r="F11" s="94"/>
      <c r="G11" s="55">
        <v>170814.29597195983</v>
      </c>
      <c r="H11" s="22" t="s">
        <v>3</v>
      </c>
      <c r="I11" s="1"/>
    </row>
    <row r="12" spans="1:9" x14ac:dyDescent="0.25">
      <c r="A12" s="1"/>
      <c r="B12" s="92" t="s">
        <v>88</v>
      </c>
      <c r="C12" s="93"/>
      <c r="D12" s="93"/>
      <c r="E12" s="93"/>
      <c r="F12" s="94"/>
      <c r="G12" s="55">
        <f>G11/G19</f>
        <v>18770801.755160421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81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2" t="s">
        <v>90</v>
      </c>
      <c r="C17" s="93"/>
      <c r="D17" s="93"/>
      <c r="E17" s="93"/>
      <c r="F17" s="94"/>
      <c r="G17" s="54">
        <v>0.02</v>
      </c>
      <c r="H17" s="22"/>
      <c r="I17" s="1"/>
    </row>
    <row r="18" spans="1:9" x14ac:dyDescent="0.25">
      <c r="A18" s="1"/>
      <c r="B18" s="92" t="s">
        <v>89</v>
      </c>
      <c r="C18" s="93"/>
      <c r="D18" s="93"/>
      <c r="E18" s="93"/>
      <c r="F18" s="94"/>
      <c r="G18" s="54">
        <v>0.02</v>
      </c>
      <c r="H18" s="22"/>
      <c r="I18" s="1"/>
    </row>
    <row r="19" spans="1:9" x14ac:dyDescent="0.25">
      <c r="A19" s="1"/>
      <c r="B19" s="92" t="s">
        <v>91</v>
      </c>
      <c r="C19" s="93"/>
      <c r="D19" s="93"/>
      <c r="E19" s="93"/>
      <c r="F19" s="94"/>
      <c r="G19" s="54">
        <v>9.1000000000000004E-3</v>
      </c>
      <c r="H19" s="22"/>
      <c r="I19" s="1"/>
    </row>
    <row r="20" spans="1:9" x14ac:dyDescent="0.25">
      <c r="A20" s="1"/>
      <c r="B20" s="92" t="s">
        <v>149</v>
      </c>
      <c r="C20" s="93"/>
      <c r="D20" s="93"/>
      <c r="E20" s="93"/>
      <c r="F20" s="94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135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24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18</v>
      </c>
      <c r="C9" s="93"/>
      <c r="D9" s="93"/>
      <c r="E9" s="93"/>
      <c r="F9" s="94"/>
      <c r="G9" s="11">
        <v>-8540861</v>
      </c>
      <c r="H9" s="22" t="s">
        <v>3</v>
      </c>
      <c r="I9" s="1"/>
    </row>
    <row r="10" spans="1:9" x14ac:dyDescent="0.25">
      <c r="A10" s="1"/>
      <c r="B10" s="92" t="s">
        <v>53</v>
      </c>
      <c r="C10" s="93"/>
      <c r="D10" s="93"/>
      <c r="E10" s="93"/>
      <c r="F10" s="94"/>
      <c r="G10" s="11">
        <v>-8540861</v>
      </c>
      <c r="H10" s="22" t="s">
        <v>3</v>
      </c>
      <c r="I10" s="1"/>
    </row>
    <row r="11" spans="1:9" x14ac:dyDescent="0.25">
      <c r="A11" s="1"/>
      <c r="B11" s="101" t="s">
        <v>21</v>
      </c>
      <c r="C11" s="102"/>
      <c r="D11" s="102"/>
      <c r="E11" s="102"/>
      <c r="F11" s="103"/>
      <c r="G11" s="31">
        <f>G9-G10</f>
        <v>0</v>
      </c>
      <c r="H11" s="26" t="s">
        <v>3</v>
      </c>
      <c r="I11" s="1"/>
    </row>
    <row r="12" spans="1:9" x14ac:dyDescent="0.25">
      <c r="A12" s="1"/>
      <c r="B12" s="92" t="s">
        <v>19</v>
      </c>
      <c r="C12" s="93"/>
      <c r="D12" s="93"/>
      <c r="E12" s="93"/>
      <c r="F12" s="94"/>
      <c r="G12" s="11">
        <v>0</v>
      </c>
      <c r="H12" s="22" t="s">
        <v>43</v>
      </c>
      <c r="I12" s="1"/>
    </row>
    <row r="13" spans="1:9" x14ac:dyDescent="0.25">
      <c r="A13" s="1"/>
      <c r="B13" s="95" t="s">
        <v>17</v>
      </c>
      <c r="C13" s="96"/>
      <c r="D13" s="96"/>
      <c r="E13" s="96"/>
      <c r="F13" s="97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0" t="s">
        <v>136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98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93</v>
      </c>
      <c r="C9" s="93"/>
      <c r="D9" s="94"/>
      <c r="E9" s="11">
        <v>53265660.427044928</v>
      </c>
      <c r="F9" s="22" t="s">
        <v>3</v>
      </c>
      <c r="G9" s="19"/>
      <c r="H9" s="27"/>
      <c r="I9" s="1"/>
    </row>
    <row r="10" spans="1:9" x14ac:dyDescent="0.25">
      <c r="A10" s="1"/>
      <c r="B10" s="92" t="s">
        <v>94</v>
      </c>
      <c r="C10" s="93"/>
      <c r="D10" s="94"/>
      <c r="E10" s="11">
        <v>51479375</v>
      </c>
      <c r="F10" s="22" t="s">
        <v>3</v>
      </c>
      <c r="G10" s="14"/>
      <c r="H10" s="28"/>
      <c r="I10" s="1"/>
    </row>
    <row r="11" spans="1:9" x14ac:dyDescent="0.25">
      <c r="A11" s="1"/>
      <c r="B11" s="92" t="s">
        <v>99</v>
      </c>
      <c r="C11" s="93"/>
      <c r="D11" s="94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4" t="s">
        <v>107</v>
      </c>
      <c r="C12" s="105"/>
      <c r="D12" s="106"/>
      <c r="E12" s="17">
        <f>E9-(E10-E11)</f>
        <v>1786285.4270449281</v>
      </c>
      <c r="F12" s="25" t="s">
        <v>3</v>
      </c>
      <c r="G12" s="17">
        <f>E12</f>
        <v>1786285.4270449281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104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2" t="s">
        <v>101</v>
      </c>
      <c r="C17" s="93"/>
      <c r="D17" s="94"/>
      <c r="E17" s="11">
        <v>2300462.7400000002</v>
      </c>
      <c r="F17" s="22" t="s">
        <v>3</v>
      </c>
      <c r="G17" s="19"/>
      <c r="H17" s="27"/>
      <c r="I17" s="1"/>
    </row>
    <row r="18" spans="1:9" x14ac:dyDescent="0.25">
      <c r="A18" s="1"/>
      <c r="B18" s="92" t="s">
        <v>102</v>
      </c>
      <c r="C18" s="93"/>
      <c r="D18" s="94"/>
      <c r="E18" s="11">
        <v>-1935022</v>
      </c>
      <c r="F18" s="22" t="s">
        <v>3</v>
      </c>
      <c r="G18" s="14"/>
      <c r="H18" s="28"/>
      <c r="I18" s="1"/>
    </row>
    <row r="19" spans="1:9" x14ac:dyDescent="0.25">
      <c r="A19" s="1"/>
      <c r="B19" s="104" t="s">
        <v>105</v>
      </c>
      <c r="C19" s="105"/>
      <c r="D19" s="106"/>
      <c r="E19" s="17">
        <f>SUM(E17:E18)</f>
        <v>365440.74000000022</v>
      </c>
      <c r="F19" s="25" t="s">
        <v>3</v>
      </c>
      <c r="G19" s="17">
        <f>E19</f>
        <v>365440.74000000022</v>
      </c>
      <c r="H19" s="25" t="s">
        <v>3</v>
      </c>
      <c r="I19" s="1"/>
    </row>
    <row r="20" spans="1:9" x14ac:dyDescent="0.25">
      <c r="A20" s="1"/>
      <c r="B20" s="104" t="s">
        <v>106</v>
      </c>
      <c r="C20" s="105"/>
      <c r="D20" s="106"/>
      <c r="E20" s="17">
        <f>SUM(E17:E18)*(1+Prisudvikling2018)</f>
        <v>371835.95295000024</v>
      </c>
      <c r="F20" s="25" t="s">
        <v>3</v>
      </c>
      <c r="G20" s="17">
        <f>E20</f>
        <v>371835.95295000024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5" t="s">
        <v>103</v>
      </c>
      <c r="C24" s="96"/>
      <c r="D24" s="96"/>
      <c r="E24" s="96"/>
      <c r="F24" s="96"/>
      <c r="G24" s="96"/>
      <c r="H24" s="97"/>
      <c r="I24" s="1"/>
    </row>
    <row r="25" spans="1:9" x14ac:dyDescent="0.25">
      <c r="A25" s="1"/>
      <c r="B25" s="110" t="s">
        <v>109</v>
      </c>
      <c r="C25" s="111"/>
      <c r="D25" s="112"/>
      <c r="E25" s="11">
        <f>IF(E12&lt;0,E20+E12,IF(E20+E12&lt;0,E20+E12,IF(E20&lt;0,0,E20)))</f>
        <v>371835.95295000024</v>
      </c>
      <c r="F25" s="22" t="s">
        <v>3</v>
      </c>
      <c r="G25" s="14"/>
      <c r="H25" s="28"/>
      <c r="I25" s="1"/>
    </row>
    <row r="26" spans="1:9" x14ac:dyDescent="0.25">
      <c r="A26" s="1"/>
      <c r="B26" s="110" t="s">
        <v>100</v>
      </c>
      <c r="C26" s="111"/>
      <c r="D26" s="112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10" t="s">
        <v>111</v>
      </c>
      <c r="C27" s="111"/>
      <c r="D27" s="112"/>
      <c r="E27" s="11">
        <f>E25/E26</f>
        <v>185917.97647500012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7" t="s">
        <v>108</v>
      </c>
      <c r="C28" s="108"/>
      <c r="D28" s="109"/>
      <c r="E28" s="11">
        <f>IF(E20+E12&gt;0,E12-(E25-E20),0)</f>
        <v>1786285.4270449281</v>
      </c>
      <c r="F28" s="22" t="s">
        <v>3</v>
      </c>
      <c r="G28" s="14"/>
      <c r="H28" s="28"/>
      <c r="I28" s="1"/>
    </row>
    <row r="29" spans="1:9" x14ac:dyDescent="0.25">
      <c r="A29" s="1"/>
      <c r="B29" s="95" t="s">
        <v>110</v>
      </c>
      <c r="C29" s="96"/>
      <c r="D29" s="96"/>
      <c r="E29" s="96"/>
      <c r="F29" s="97"/>
      <c r="G29" s="20">
        <f>E27</f>
        <v>185917.97647500012</v>
      </c>
      <c r="H29" s="21" t="s">
        <v>3</v>
      </c>
      <c r="I29" s="1"/>
    </row>
    <row r="30" spans="1:9" x14ac:dyDescent="0.25">
      <c r="A30" s="1"/>
      <c r="B30" s="95" t="s">
        <v>112</v>
      </c>
      <c r="C30" s="96"/>
      <c r="D30" s="96"/>
      <c r="E30" s="96"/>
      <c r="F30" s="97"/>
      <c r="G30" s="20">
        <f>G29*(1+Prisudvikling2019)^2</f>
        <v>192255.1041131161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90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142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143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x14ac:dyDescent="0.25">
      <c r="A10" s="1"/>
      <c r="B10" s="60" t="s">
        <v>161</v>
      </c>
      <c r="C10" s="61">
        <v>75</v>
      </c>
      <c r="D10" s="11">
        <v>94812</v>
      </c>
      <c r="E10" s="11">
        <f>D10/C10</f>
        <v>1264.1600000000001</v>
      </c>
      <c r="F10" s="11">
        <v>0</v>
      </c>
      <c r="G10" s="11">
        <v>1707</v>
      </c>
      <c r="H10" s="22" t="s">
        <v>3</v>
      </c>
      <c r="I10" s="1"/>
    </row>
    <row r="11" spans="1:9" x14ac:dyDescent="0.25">
      <c r="A11" s="1"/>
      <c r="B11" s="60" t="s">
        <v>162</v>
      </c>
      <c r="C11" s="61">
        <v>50</v>
      </c>
      <c r="D11" s="11">
        <v>30978</v>
      </c>
      <c r="E11" s="11">
        <f t="shared" ref="E11:E14" si="0">D11/C11</f>
        <v>619.55999999999995</v>
      </c>
      <c r="F11" s="11">
        <v>0</v>
      </c>
      <c r="G11" s="11">
        <v>558</v>
      </c>
      <c r="H11" s="22" t="s">
        <v>3</v>
      </c>
      <c r="I11" s="1"/>
    </row>
    <row r="12" spans="1:9" ht="26.25" x14ac:dyDescent="0.25">
      <c r="A12" s="1"/>
      <c r="B12" s="60" t="s">
        <v>163</v>
      </c>
      <c r="C12" s="61">
        <v>75</v>
      </c>
      <c r="D12" s="11">
        <v>2765332</v>
      </c>
      <c r="E12" s="11">
        <f t="shared" si="0"/>
        <v>36871.093333333331</v>
      </c>
      <c r="F12" s="11">
        <v>0</v>
      </c>
      <c r="G12" s="11">
        <v>49776</v>
      </c>
      <c r="H12" s="22" t="s">
        <v>3</v>
      </c>
      <c r="I12" s="1"/>
    </row>
    <row r="13" spans="1:9" ht="26.25" x14ac:dyDescent="0.25">
      <c r="A13" s="1"/>
      <c r="B13" s="60" t="s">
        <v>164</v>
      </c>
      <c r="C13" s="61">
        <v>75</v>
      </c>
      <c r="D13" s="11">
        <v>67620</v>
      </c>
      <c r="E13" s="11">
        <f t="shared" si="0"/>
        <v>901.6</v>
      </c>
      <c r="F13" s="11">
        <v>0</v>
      </c>
      <c r="G13" s="11">
        <v>1217</v>
      </c>
      <c r="H13" s="22" t="s">
        <v>3</v>
      </c>
      <c r="I13" s="1"/>
    </row>
    <row r="14" spans="1:9" ht="26.25" x14ac:dyDescent="0.25">
      <c r="A14" s="1"/>
      <c r="B14" s="60" t="s">
        <v>165</v>
      </c>
      <c r="C14" s="61">
        <v>75</v>
      </c>
      <c r="D14" s="11">
        <v>245911</v>
      </c>
      <c r="E14" s="11">
        <f t="shared" si="0"/>
        <v>3278.8133333333335</v>
      </c>
      <c r="F14" s="11">
        <v>0</v>
      </c>
      <c r="G14" s="11">
        <v>4426</v>
      </c>
      <c r="H14" s="22" t="s">
        <v>3</v>
      </c>
      <c r="I14" s="1"/>
    </row>
    <row r="15" spans="1:9" ht="26.25" x14ac:dyDescent="0.25">
      <c r="A15" s="1"/>
      <c r="B15" s="60" t="s">
        <v>166</v>
      </c>
      <c r="C15" s="61">
        <v>75</v>
      </c>
      <c r="D15" s="11">
        <v>1139087</v>
      </c>
      <c r="E15" s="11">
        <f t="shared" ref="E15:E52" si="1">D15/C15</f>
        <v>15187.826666666666</v>
      </c>
      <c r="F15" s="11">
        <v>0</v>
      </c>
      <c r="G15" s="11">
        <v>20504</v>
      </c>
      <c r="H15" s="22" t="s">
        <v>3</v>
      </c>
      <c r="I15" s="1"/>
    </row>
    <row r="16" spans="1:9" ht="26.25" x14ac:dyDescent="0.25">
      <c r="A16" s="1"/>
      <c r="B16" s="60" t="s">
        <v>167</v>
      </c>
      <c r="C16" s="61">
        <v>75</v>
      </c>
      <c r="D16" s="11">
        <v>6106630</v>
      </c>
      <c r="E16" s="11">
        <f t="shared" si="1"/>
        <v>81421.733333333337</v>
      </c>
      <c r="F16" s="11">
        <v>0</v>
      </c>
      <c r="G16" s="11">
        <v>112401</v>
      </c>
      <c r="H16" s="22" t="s">
        <v>3</v>
      </c>
      <c r="I16" s="1"/>
    </row>
    <row r="17" spans="1:9" ht="39" x14ac:dyDescent="0.25">
      <c r="A17" s="1"/>
      <c r="B17" s="60" t="s">
        <v>168</v>
      </c>
      <c r="C17" s="61">
        <v>30</v>
      </c>
      <c r="D17" s="11">
        <v>566873</v>
      </c>
      <c r="E17" s="11">
        <f t="shared" si="1"/>
        <v>18895.766666666666</v>
      </c>
      <c r="F17" s="11">
        <v>0</v>
      </c>
      <c r="G17" s="11">
        <v>10204</v>
      </c>
      <c r="H17" s="22" t="s">
        <v>3</v>
      </c>
      <c r="I17" s="1"/>
    </row>
    <row r="18" spans="1:9" ht="39" x14ac:dyDescent="0.25">
      <c r="A18" s="1"/>
      <c r="B18" s="60" t="s">
        <v>169</v>
      </c>
      <c r="C18" s="61">
        <v>10</v>
      </c>
      <c r="D18" s="11">
        <v>282161</v>
      </c>
      <c r="E18" s="11">
        <f t="shared" si="1"/>
        <v>28216.1</v>
      </c>
      <c r="F18" s="11">
        <v>0</v>
      </c>
      <c r="G18" s="11">
        <v>5079</v>
      </c>
      <c r="H18" s="22" t="s">
        <v>3</v>
      </c>
      <c r="I18" s="1"/>
    </row>
    <row r="19" spans="1:9" ht="39" x14ac:dyDescent="0.25">
      <c r="A19" s="1"/>
      <c r="B19" s="60" t="s">
        <v>168</v>
      </c>
      <c r="C19" s="61">
        <v>30</v>
      </c>
      <c r="D19" s="11">
        <v>316910</v>
      </c>
      <c r="E19" s="11">
        <f t="shared" si="1"/>
        <v>10563.666666666666</v>
      </c>
      <c r="F19" s="11">
        <v>0</v>
      </c>
      <c r="G19" s="11">
        <v>5704</v>
      </c>
      <c r="H19" s="22" t="s">
        <v>3</v>
      </c>
      <c r="I19" s="1"/>
    </row>
    <row r="20" spans="1:9" ht="26.25" x14ac:dyDescent="0.25">
      <c r="A20" s="1"/>
      <c r="B20" s="60" t="s">
        <v>170</v>
      </c>
      <c r="C20" s="61">
        <v>15</v>
      </c>
      <c r="D20" s="11">
        <v>90293</v>
      </c>
      <c r="E20" s="11">
        <f t="shared" si="1"/>
        <v>6019.5333333333338</v>
      </c>
      <c r="F20" s="11">
        <v>0</v>
      </c>
      <c r="G20" s="11">
        <v>1625</v>
      </c>
      <c r="H20" s="22" t="s">
        <v>3</v>
      </c>
      <c r="I20" s="1"/>
    </row>
    <row r="21" spans="1:9" ht="39" x14ac:dyDescent="0.25">
      <c r="A21" s="1"/>
      <c r="B21" s="60" t="s">
        <v>171</v>
      </c>
      <c r="C21" s="61">
        <v>50</v>
      </c>
      <c r="D21" s="11">
        <v>746557</v>
      </c>
      <c r="E21" s="11">
        <f t="shared" si="1"/>
        <v>14931.14</v>
      </c>
      <c r="F21" s="11">
        <v>0</v>
      </c>
      <c r="G21" s="11">
        <v>23438</v>
      </c>
      <c r="H21" s="22" t="s">
        <v>3</v>
      </c>
      <c r="I21" s="1"/>
    </row>
    <row r="22" spans="1:9" ht="26.25" x14ac:dyDescent="0.25">
      <c r="A22" s="1"/>
      <c r="B22" s="60" t="s">
        <v>172</v>
      </c>
      <c r="C22" s="61">
        <v>25</v>
      </c>
      <c r="D22" s="11">
        <v>1922667</v>
      </c>
      <c r="E22" s="11">
        <f t="shared" si="1"/>
        <v>76906.679999999993</v>
      </c>
      <c r="F22" s="11">
        <v>0</v>
      </c>
      <c r="G22" s="11">
        <v>44608</v>
      </c>
      <c r="H22" s="22" t="s">
        <v>3</v>
      </c>
      <c r="I22" s="1"/>
    </row>
    <row r="23" spans="1:9" ht="26.25" x14ac:dyDescent="0.25">
      <c r="A23" s="1"/>
      <c r="B23" s="60" t="s">
        <v>173</v>
      </c>
      <c r="C23" s="61">
        <v>75</v>
      </c>
      <c r="D23" s="11">
        <v>434104</v>
      </c>
      <c r="E23" s="11">
        <f t="shared" si="1"/>
        <v>5788.0533333333333</v>
      </c>
      <c r="F23" s="11">
        <v>0</v>
      </c>
      <c r="G23" s="11">
        <v>17814</v>
      </c>
      <c r="H23" s="22" t="s">
        <v>3</v>
      </c>
      <c r="I23" s="1"/>
    </row>
    <row r="24" spans="1:9" ht="26.25" x14ac:dyDescent="0.25">
      <c r="A24" s="1"/>
      <c r="B24" s="60" t="s">
        <v>174</v>
      </c>
      <c r="C24" s="61">
        <v>25</v>
      </c>
      <c r="D24" s="11">
        <v>800000</v>
      </c>
      <c r="E24" s="11">
        <f t="shared" si="1"/>
        <v>32000</v>
      </c>
      <c r="F24" s="11">
        <v>0</v>
      </c>
      <c r="G24" s="11">
        <v>24400</v>
      </c>
      <c r="H24" s="22" t="s">
        <v>3</v>
      </c>
      <c r="I24" s="1"/>
    </row>
    <row r="25" spans="1:9" ht="26.25" x14ac:dyDescent="0.25">
      <c r="A25" s="1"/>
      <c r="B25" s="60" t="s">
        <v>174</v>
      </c>
      <c r="C25" s="61">
        <v>25</v>
      </c>
      <c r="D25" s="11">
        <v>87641</v>
      </c>
      <c r="E25" s="11">
        <f t="shared" si="1"/>
        <v>3505.64</v>
      </c>
      <c r="F25" s="11">
        <v>0</v>
      </c>
      <c r="G25" s="11">
        <v>11578</v>
      </c>
      <c r="H25" s="22" t="s">
        <v>3</v>
      </c>
      <c r="I25" s="1"/>
    </row>
    <row r="26" spans="1:9" ht="26.25" x14ac:dyDescent="0.25">
      <c r="A26" s="1"/>
      <c r="B26" s="60" t="s">
        <v>175</v>
      </c>
      <c r="C26" s="61">
        <v>50</v>
      </c>
      <c r="D26" s="11">
        <v>1000000</v>
      </c>
      <c r="E26" s="11">
        <f t="shared" si="1"/>
        <v>20000</v>
      </c>
      <c r="F26" s="11">
        <v>0</v>
      </c>
      <c r="G26" s="11">
        <v>28000</v>
      </c>
      <c r="H26" s="22" t="s">
        <v>3</v>
      </c>
      <c r="I26" s="1"/>
    </row>
    <row r="27" spans="1:9" ht="51.75" x14ac:dyDescent="0.25">
      <c r="A27" s="1"/>
      <c r="B27" s="60" t="s">
        <v>176</v>
      </c>
      <c r="C27" s="61">
        <v>25</v>
      </c>
      <c r="D27" s="11">
        <v>40307</v>
      </c>
      <c r="E27" s="11">
        <f t="shared" si="1"/>
        <v>1612.28</v>
      </c>
      <c r="F27" s="11">
        <v>0</v>
      </c>
      <c r="G27" s="11">
        <v>10726</v>
      </c>
      <c r="H27" s="22" t="s">
        <v>3</v>
      </c>
      <c r="I27" s="1"/>
    </row>
    <row r="28" spans="1:9" ht="26.25" x14ac:dyDescent="0.25">
      <c r="A28" s="1"/>
      <c r="B28" s="60" t="s">
        <v>177</v>
      </c>
      <c r="C28" s="61">
        <v>25</v>
      </c>
      <c r="D28" s="11">
        <v>200000</v>
      </c>
      <c r="E28" s="11">
        <f t="shared" si="1"/>
        <v>8000</v>
      </c>
      <c r="F28" s="11">
        <v>0</v>
      </c>
      <c r="G28" s="11">
        <v>13600</v>
      </c>
      <c r="H28" s="22" t="s">
        <v>3</v>
      </c>
      <c r="I28" s="1"/>
    </row>
    <row r="29" spans="1:9" x14ac:dyDescent="0.25">
      <c r="A29" s="1"/>
      <c r="B29" s="60" t="s">
        <v>178</v>
      </c>
      <c r="C29" s="61">
        <v>10</v>
      </c>
      <c r="D29" s="11">
        <v>57231</v>
      </c>
      <c r="E29" s="11">
        <f t="shared" si="1"/>
        <v>5723.1</v>
      </c>
      <c r="F29" s="11">
        <v>0</v>
      </c>
      <c r="G29" s="11">
        <v>11030</v>
      </c>
      <c r="H29" s="22" t="s">
        <v>3</v>
      </c>
      <c r="I29" s="1"/>
    </row>
    <row r="30" spans="1:9" ht="26.25" x14ac:dyDescent="0.25">
      <c r="A30" s="1"/>
      <c r="B30" s="60" t="s">
        <v>179</v>
      </c>
      <c r="C30" s="61">
        <v>25</v>
      </c>
      <c r="D30" s="11">
        <v>332650</v>
      </c>
      <c r="E30" s="11">
        <f t="shared" si="1"/>
        <v>13306</v>
      </c>
      <c r="F30" s="11">
        <v>0</v>
      </c>
      <c r="G30" s="11">
        <v>15988</v>
      </c>
      <c r="H30" s="22" t="s">
        <v>3</v>
      </c>
      <c r="I30" s="1"/>
    </row>
    <row r="31" spans="1:9" ht="39" x14ac:dyDescent="0.25">
      <c r="A31" s="1"/>
      <c r="B31" s="60" t="s">
        <v>168</v>
      </c>
      <c r="C31" s="61">
        <v>30</v>
      </c>
      <c r="D31" s="11">
        <v>88179</v>
      </c>
      <c r="E31" s="11">
        <f t="shared" si="1"/>
        <v>2939.3</v>
      </c>
      <c r="F31" s="11">
        <v>0</v>
      </c>
      <c r="G31" s="11">
        <v>1587</v>
      </c>
      <c r="H31" s="22" t="s">
        <v>3</v>
      </c>
      <c r="I31" s="1"/>
    </row>
    <row r="32" spans="1:9" x14ac:dyDescent="0.25">
      <c r="A32" s="1"/>
      <c r="B32" s="60" t="s">
        <v>180</v>
      </c>
      <c r="C32" s="61">
        <v>20</v>
      </c>
      <c r="D32" s="11">
        <v>478187</v>
      </c>
      <c r="E32" s="11">
        <f t="shared" si="1"/>
        <v>23909.35</v>
      </c>
      <c r="F32" s="11">
        <v>0</v>
      </c>
      <c r="G32" s="11">
        <v>8607</v>
      </c>
      <c r="H32" s="22" t="s">
        <v>3</v>
      </c>
      <c r="I32" s="1"/>
    </row>
    <row r="33" spans="1:9" ht="39" x14ac:dyDescent="0.25">
      <c r="A33" s="1"/>
      <c r="B33" s="60" t="s">
        <v>169</v>
      </c>
      <c r="C33" s="61">
        <v>10</v>
      </c>
      <c r="D33" s="11">
        <v>62091</v>
      </c>
      <c r="E33" s="11">
        <f t="shared" si="1"/>
        <v>6209.1</v>
      </c>
      <c r="F33" s="11">
        <v>0</v>
      </c>
      <c r="G33" s="11">
        <v>1118</v>
      </c>
      <c r="H33" s="22" t="s">
        <v>3</v>
      </c>
      <c r="I33" s="1"/>
    </row>
    <row r="34" spans="1:9" ht="39" x14ac:dyDescent="0.25">
      <c r="A34" s="1"/>
      <c r="B34" s="60" t="s">
        <v>181</v>
      </c>
      <c r="C34" s="61">
        <v>30</v>
      </c>
      <c r="D34" s="11">
        <v>225699</v>
      </c>
      <c r="E34" s="11">
        <f t="shared" si="1"/>
        <v>7523.3</v>
      </c>
      <c r="F34" s="11">
        <v>0</v>
      </c>
      <c r="G34" s="11">
        <v>4063</v>
      </c>
      <c r="H34" s="22" t="s">
        <v>3</v>
      </c>
      <c r="I34" s="1"/>
    </row>
    <row r="35" spans="1:9" ht="26.25" x14ac:dyDescent="0.25">
      <c r="A35" s="1"/>
      <c r="B35" s="60" t="s">
        <v>167</v>
      </c>
      <c r="C35" s="61">
        <v>75</v>
      </c>
      <c r="D35" s="11">
        <v>911433</v>
      </c>
      <c r="E35" s="11">
        <f t="shared" si="1"/>
        <v>12152.44</v>
      </c>
      <c r="F35" s="11">
        <v>0</v>
      </c>
      <c r="G35" s="11">
        <v>16406</v>
      </c>
      <c r="H35" s="22" t="s">
        <v>3</v>
      </c>
      <c r="I35" s="1"/>
    </row>
    <row r="36" spans="1:9" x14ac:dyDescent="0.25">
      <c r="A36" s="1"/>
      <c r="B36" s="60" t="s">
        <v>178</v>
      </c>
      <c r="C36" s="61">
        <v>10</v>
      </c>
      <c r="D36" s="11">
        <v>4218</v>
      </c>
      <c r="E36" s="11">
        <f t="shared" si="1"/>
        <v>421.8</v>
      </c>
      <c r="F36" s="11">
        <v>0</v>
      </c>
      <c r="G36" s="11">
        <v>76</v>
      </c>
      <c r="H36" s="22" t="s">
        <v>3</v>
      </c>
      <c r="I36" s="1"/>
    </row>
    <row r="37" spans="1:9" ht="26.25" x14ac:dyDescent="0.25">
      <c r="A37" s="1"/>
      <c r="B37" s="60" t="s">
        <v>167</v>
      </c>
      <c r="C37" s="61">
        <v>75</v>
      </c>
      <c r="D37" s="11">
        <v>1271906</v>
      </c>
      <c r="E37" s="11">
        <f t="shared" si="1"/>
        <v>16958.746666666666</v>
      </c>
      <c r="F37" s="11">
        <v>0</v>
      </c>
      <c r="G37" s="11">
        <v>22894</v>
      </c>
      <c r="H37" s="22" t="s">
        <v>3</v>
      </c>
      <c r="I37" s="1"/>
    </row>
    <row r="38" spans="1:9" ht="26.25" x14ac:dyDescent="0.25">
      <c r="A38" s="1"/>
      <c r="B38" s="60" t="s">
        <v>167</v>
      </c>
      <c r="C38" s="61">
        <v>75</v>
      </c>
      <c r="D38" s="11">
        <v>44730</v>
      </c>
      <c r="E38" s="11">
        <f t="shared" si="1"/>
        <v>596.4</v>
      </c>
      <c r="F38" s="11">
        <v>0</v>
      </c>
      <c r="G38" s="11">
        <v>805</v>
      </c>
      <c r="H38" s="22" t="s">
        <v>3</v>
      </c>
      <c r="I38" s="1"/>
    </row>
    <row r="39" spans="1:9" ht="39" x14ac:dyDescent="0.25">
      <c r="A39" s="1"/>
      <c r="B39" s="60" t="s">
        <v>182</v>
      </c>
      <c r="C39" s="61">
        <v>50</v>
      </c>
      <c r="D39" s="11">
        <v>1339403</v>
      </c>
      <c r="E39" s="11">
        <f t="shared" si="1"/>
        <v>26788.06</v>
      </c>
      <c r="F39" s="11">
        <v>0</v>
      </c>
      <c r="G39" s="11">
        <v>24109</v>
      </c>
      <c r="H39" s="22" t="s">
        <v>3</v>
      </c>
      <c r="I39" s="1"/>
    </row>
    <row r="40" spans="1:9" ht="39" x14ac:dyDescent="0.25">
      <c r="A40" s="1"/>
      <c r="B40" s="60" t="s">
        <v>183</v>
      </c>
      <c r="C40" s="61">
        <v>15</v>
      </c>
      <c r="D40" s="11">
        <v>13140</v>
      </c>
      <c r="E40" s="11">
        <f t="shared" si="1"/>
        <v>876</v>
      </c>
      <c r="F40" s="11">
        <v>0</v>
      </c>
      <c r="G40" s="11">
        <v>0</v>
      </c>
      <c r="H40" s="22" t="s">
        <v>3</v>
      </c>
      <c r="I40" s="1"/>
    </row>
    <row r="41" spans="1:9" ht="39" x14ac:dyDescent="0.25">
      <c r="A41" s="1"/>
      <c r="B41" s="60" t="s">
        <v>184</v>
      </c>
      <c r="C41" s="61">
        <v>10</v>
      </c>
      <c r="D41" s="11">
        <v>115681</v>
      </c>
      <c r="E41" s="11">
        <f t="shared" si="1"/>
        <v>11568.1</v>
      </c>
      <c r="F41" s="11">
        <v>0</v>
      </c>
      <c r="G41" s="11">
        <v>0</v>
      </c>
      <c r="H41" s="22" t="s">
        <v>3</v>
      </c>
      <c r="I41" s="1"/>
    </row>
    <row r="42" spans="1:9" ht="26.25" x14ac:dyDescent="0.25">
      <c r="A42" s="1"/>
      <c r="B42" s="60" t="s">
        <v>167</v>
      </c>
      <c r="C42" s="61">
        <v>75</v>
      </c>
      <c r="D42" s="11">
        <v>58734</v>
      </c>
      <c r="E42" s="11">
        <f t="shared" si="1"/>
        <v>783.12</v>
      </c>
      <c r="F42" s="11">
        <v>0</v>
      </c>
      <c r="G42" s="11">
        <v>0</v>
      </c>
      <c r="H42" s="22" t="s">
        <v>3</v>
      </c>
      <c r="I42" s="1"/>
    </row>
    <row r="43" spans="1:9" ht="26.25" x14ac:dyDescent="0.25">
      <c r="A43" s="1"/>
      <c r="B43" s="60" t="s">
        <v>185</v>
      </c>
      <c r="C43" s="61">
        <v>25</v>
      </c>
      <c r="D43" s="11">
        <v>624380</v>
      </c>
      <c r="E43" s="11">
        <f t="shared" si="1"/>
        <v>24975.200000000001</v>
      </c>
      <c r="F43" s="11">
        <v>0</v>
      </c>
      <c r="G43" s="11">
        <v>0</v>
      </c>
      <c r="H43" s="22" t="s">
        <v>3</v>
      </c>
      <c r="I43" s="1"/>
    </row>
    <row r="44" spans="1:9" ht="26.25" x14ac:dyDescent="0.25">
      <c r="A44" s="1"/>
      <c r="B44" s="60" t="s">
        <v>186</v>
      </c>
      <c r="C44" s="61">
        <v>50</v>
      </c>
      <c r="D44" s="11">
        <v>70072</v>
      </c>
      <c r="E44" s="11">
        <f t="shared" si="1"/>
        <v>1401.44</v>
      </c>
      <c r="F44" s="11">
        <v>0</v>
      </c>
      <c r="G44" s="11">
        <v>0</v>
      </c>
      <c r="H44" s="22" t="s">
        <v>3</v>
      </c>
      <c r="I44" s="1"/>
    </row>
    <row r="45" spans="1:9" ht="39" x14ac:dyDescent="0.25">
      <c r="A45" s="1"/>
      <c r="B45" s="60" t="s">
        <v>187</v>
      </c>
      <c r="C45" s="61">
        <v>50</v>
      </c>
      <c r="D45" s="11">
        <v>198448</v>
      </c>
      <c r="E45" s="11">
        <f t="shared" si="1"/>
        <v>3968.96</v>
      </c>
      <c r="F45" s="11">
        <v>0</v>
      </c>
      <c r="G45" s="11">
        <v>0</v>
      </c>
      <c r="H45" s="22" t="s">
        <v>3</v>
      </c>
      <c r="I45" s="1"/>
    </row>
    <row r="46" spans="1:9" ht="39" x14ac:dyDescent="0.25">
      <c r="A46" s="1"/>
      <c r="B46" s="60" t="s">
        <v>183</v>
      </c>
      <c r="C46" s="61">
        <v>15</v>
      </c>
      <c r="D46" s="11">
        <v>74449</v>
      </c>
      <c r="E46" s="11">
        <f t="shared" si="1"/>
        <v>4963.2666666666664</v>
      </c>
      <c r="F46" s="11">
        <v>0</v>
      </c>
      <c r="G46" s="11">
        <v>0</v>
      </c>
      <c r="H46" s="22" t="s">
        <v>3</v>
      </c>
      <c r="I46" s="1"/>
    </row>
    <row r="47" spans="1:9" ht="26.25" x14ac:dyDescent="0.25">
      <c r="A47" s="1"/>
      <c r="B47" s="60" t="s">
        <v>163</v>
      </c>
      <c r="C47" s="61">
        <v>75</v>
      </c>
      <c r="D47" s="11">
        <v>249148</v>
      </c>
      <c r="E47" s="11">
        <f t="shared" si="1"/>
        <v>3321.9733333333334</v>
      </c>
      <c r="F47" s="11">
        <v>0</v>
      </c>
      <c r="G47" s="11">
        <v>0</v>
      </c>
      <c r="H47" s="22" t="s">
        <v>3</v>
      </c>
      <c r="I47" s="1"/>
    </row>
    <row r="48" spans="1:9" ht="26.25" x14ac:dyDescent="0.25">
      <c r="A48" s="1"/>
      <c r="B48" s="60" t="s">
        <v>188</v>
      </c>
      <c r="C48" s="61">
        <v>75</v>
      </c>
      <c r="D48" s="11">
        <v>63511</v>
      </c>
      <c r="E48" s="11">
        <f t="shared" si="1"/>
        <v>846.81333333333339</v>
      </c>
      <c r="F48" s="11">
        <v>0</v>
      </c>
      <c r="G48" s="11">
        <v>0</v>
      </c>
      <c r="H48" s="22" t="s">
        <v>3</v>
      </c>
      <c r="I48" s="1"/>
    </row>
    <row r="49" spans="1:9" ht="26.25" x14ac:dyDescent="0.25">
      <c r="A49" s="1"/>
      <c r="B49" s="60" t="s">
        <v>167</v>
      </c>
      <c r="C49" s="61">
        <v>75</v>
      </c>
      <c r="D49" s="11">
        <v>144317</v>
      </c>
      <c r="E49" s="11">
        <f t="shared" si="1"/>
        <v>1924.2266666666667</v>
      </c>
      <c r="F49" s="11">
        <v>0</v>
      </c>
      <c r="G49" s="11">
        <v>0</v>
      </c>
      <c r="H49" s="22" t="s">
        <v>3</v>
      </c>
      <c r="I49" s="1"/>
    </row>
    <row r="50" spans="1:9" ht="39" x14ac:dyDescent="0.25">
      <c r="A50" s="1"/>
      <c r="B50" s="60" t="s">
        <v>168</v>
      </c>
      <c r="C50" s="61">
        <v>30</v>
      </c>
      <c r="D50" s="11">
        <v>213715</v>
      </c>
      <c r="E50" s="11">
        <f t="shared" si="1"/>
        <v>7123.833333333333</v>
      </c>
      <c r="F50" s="11">
        <v>0</v>
      </c>
      <c r="G50" s="11">
        <v>0</v>
      </c>
      <c r="H50" s="22" t="s">
        <v>3</v>
      </c>
      <c r="I50" s="1"/>
    </row>
    <row r="51" spans="1:9" ht="39" x14ac:dyDescent="0.25">
      <c r="A51" s="1"/>
      <c r="B51" s="60" t="s">
        <v>169</v>
      </c>
      <c r="C51" s="61">
        <v>10</v>
      </c>
      <c r="D51" s="11">
        <v>61934</v>
      </c>
      <c r="E51" s="11">
        <f t="shared" si="1"/>
        <v>6193.4</v>
      </c>
      <c r="F51" s="11">
        <v>0</v>
      </c>
      <c r="G51" s="11">
        <v>0</v>
      </c>
      <c r="H51" s="22" t="s">
        <v>3</v>
      </c>
      <c r="I51" s="1"/>
    </row>
    <row r="52" spans="1:9" x14ac:dyDescent="0.25">
      <c r="A52" s="1"/>
      <c r="B52" s="60" t="s">
        <v>189</v>
      </c>
      <c r="C52" s="61">
        <v>5</v>
      </c>
      <c r="D52" s="11">
        <v>280174</v>
      </c>
      <c r="E52" s="11">
        <f t="shared" si="1"/>
        <v>56034.8</v>
      </c>
      <c r="F52" s="11">
        <v>0</v>
      </c>
      <c r="G52" s="11">
        <v>0</v>
      </c>
      <c r="H52" s="22" t="s">
        <v>3</v>
      </c>
      <c r="I52" s="1"/>
    </row>
    <row r="53" spans="1:9" ht="26.25" x14ac:dyDescent="0.25">
      <c r="A53" s="1"/>
      <c r="B53" s="60" t="s">
        <v>167</v>
      </c>
      <c r="C53" s="61">
        <v>75</v>
      </c>
      <c r="D53" s="11">
        <v>397249</v>
      </c>
      <c r="E53" s="11">
        <f t="shared" ref="E53:E54" si="2">D53/C53</f>
        <v>5296.6533333333336</v>
      </c>
      <c r="F53" s="11">
        <v>0</v>
      </c>
      <c r="G53" s="11">
        <v>0</v>
      </c>
      <c r="H53" s="22" t="s">
        <v>3</v>
      </c>
      <c r="I53" s="1"/>
    </row>
    <row r="54" spans="1:9" ht="39" x14ac:dyDescent="0.25">
      <c r="A54" s="1"/>
      <c r="B54" s="60" t="s">
        <v>169</v>
      </c>
      <c r="C54" s="61">
        <v>10</v>
      </c>
      <c r="D54" s="11">
        <v>754697</v>
      </c>
      <c r="E54" s="11">
        <f t="shared" si="2"/>
        <v>75469.7</v>
      </c>
      <c r="F54" s="11">
        <v>0</v>
      </c>
      <c r="G54" s="11">
        <v>0</v>
      </c>
      <c r="H54" s="22" t="s">
        <v>3</v>
      </c>
      <c r="I54" s="1"/>
    </row>
    <row r="55" spans="1:9" x14ac:dyDescent="0.25">
      <c r="A55" s="1"/>
      <c r="B55" s="95" t="s">
        <v>144</v>
      </c>
      <c r="C55" s="96"/>
      <c r="D55" s="97"/>
      <c r="E55" s="20">
        <f>SUM(E10:E54)</f>
        <v>687258.7300000001</v>
      </c>
      <c r="F55" s="20">
        <f t="shared" ref="F55:G55" si="3">SUM(F10:F54)</f>
        <v>0</v>
      </c>
      <c r="G55" s="20">
        <f t="shared" si="3"/>
        <v>494048</v>
      </c>
      <c r="H55" s="21" t="s">
        <v>3</v>
      </c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</sheetData>
  <sheetProtection password="DFE9" sheet="1" objects="1" scenarios="1"/>
  <mergeCells count="3">
    <mergeCell ref="B3:H4"/>
    <mergeCell ref="B55:D55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44</v>
      </c>
      <c r="C3" s="88"/>
      <c r="D3" s="88"/>
      <c r="E3" s="88"/>
      <c r="F3" s="88"/>
      <c r="G3" s="88"/>
      <c r="H3" s="1"/>
    </row>
    <row r="4" spans="1:8" ht="1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Anlægsprojekter'!F55</f>
        <v>0</v>
      </c>
      <c r="E10" s="22" t="s">
        <v>3</v>
      </c>
      <c r="F10" s="11">
        <f>SUM('Fane 10. Anlægsprojekter'!E55,'Fane 10. Anlægsprojekter'!G55)</f>
        <v>1181306.73</v>
      </c>
      <c r="G10" s="22" t="s">
        <v>3</v>
      </c>
      <c r="H10" s="1"/>
    </row>
    <row r="11" spans="1:8" x14ac:dyDescent="0.25">
      <c r="A11" s="1"/>
      <c r="B11" s="63" t="s">
        <v>154</v>
      </c>
      <c r="C11" s="64"/>
      <c r="D11" s="53">
        <v>0</v>
      </c>
      <c r="E11" s="22" t="s">
        <v>3</v>
      </c>
      <c r="F11" s="11">
        <v>18428</v>
      </c>
      <c r="G11" s="22" t="s">
        <v>3</v>
      </c>
      <c r="H11" s="1"/>
    </row>
    <row r="12" spans="1:8" x14ac:dyDescent="0.25">
      <c r="A12" s="1"/>
      <c r="B12" s="41" t="s">
        <v>145</v>
      </c>
      <c r="C12" s="43"/>
      <c r="D12" s="20">
        <f>SUM(D10:D11)</f>
        <v>0</v>
      </c>
      <c r="E12" s="21" t="s">
        <v>3</v>
      </c>
      <c r="F12" s="20">
        <f>SUM(F10:F11)</f>
        <v>1199734.73</v>
      </c>
      <c r="G12" s="21" t="s">
        <v>3</v>
      </c>
      <c r="H12" s="1"/>
    </row>
    <row r="13" spans="1:8" x14ac:dyDescent="0.25">
      <c r="A13" s="1"/>
      <c r="B13" s="41" t="s">
        <v>146</v>
      </c>
      <c r="C13" s="43"/>
      <c r="D13" s="20">
        <f>D12*(1+Prisudvikling2019)</f>
        <v>0</v>
      </c>
      <c r="E13" s="21" t="s">
        <v>3</v>
      </c>
      <c r="F13" s="20">
        <f>F12*(1+Prisudvikling2019)</f>
        <v>1220010.246937</v>
      </c>
      <c r="G13" s="21" t="s">
        <v>3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159</v>
      </c>
      <c r="C3" s="90"/>
      <c r="D3" s="90"/>
      <c r="E3" s="90"/>
      <c r="F3" s="90"/>
      <c r="G3" s="90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153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160</v>
      </c>
      <c r="C3" s="90"/>
      <c r="D3" s="90"/>
      <c r="E3" s="90"/>
      <c r="F3" s="90"/>
      <c r="G3" s="1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47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26582884.029114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-121772.43659132261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59807.995993199918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6" t="s">
        <v>77</v>
      </c>
      <c r="C12" s="7">
        <f>'Fane 11. Tillæg'!D13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6" t="s">
        <v>76</v>
      </c>
      <c r="C13" s="11">
        <f>'Fane 11. Tillæg'!F13</f>
        <v>1220010.246937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6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6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6" t="s">
        <v>42</v>
      </c>
      <c r="C16" s="11">
        <f>SUM(C9:C15)*Prisudvikling2019</f>
        <v>468821.71421915357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6" t="s">
        <v>14</v>
      </c>
      <c r="C17" s="11">
        <f>-SUM(C9:C16)*'Fane 6. Individuelt eff. krav'!G9</f>
        <v>-241776.09384103777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6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-222021.90604160953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6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-175877.23744081482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5" t="s">
        <v>46</v>
      </c>
      <c r="C20" s="17">
        <f>SUM(C9:C19)</f>
        <v>27570076.312348567</v>
      </c>
      <c r="D20" s="18" t="s">
        <v>3</v>
      </c>
      <c r="E20" s="17">
        <f>C20</f>
        <v>27570076.312348567</v>
      </c>
      <c r="F20" s="18" t="s">
        <v>3</v>
      </c>
      <c r="G20" s="1"/>
    </row>
    <row r="21" spans="1:7" ht="17.100000000000001" customHeight="1" x14ac:dyDescent="0.25">
      <c r="A21" s="1"/>
      <c r="B21" s="41" t="s">
        <v>155</v>
      </c>
      <c r="C21" s="42"/>
      <c r="D21" s="42"/>
      <c r="E21" s="42"/>
      <c r="F21" s="43"/>
      <c r="G21" s="1"/>
    </row>
    <row r="22" spans="1:7" ht="17.100000000000001" customHeight="1" x14ac:dyDescent="0.25">
      <c r="A22" s="1"/>
      <c r="B22" s="45" t="s">
        <v>156</v>
      </c>
      <c r="C22" s="11">
        <f>62873*1.0169*1.0169</f>
        <v>65016.064557529993</v>
      </c>
      <c r="D22" s="8" t="s">
        <v>3</v>
      </c>
      <c r="E22" s="12"/>
      <c r="F22" s="13"/>
      <c r="G22" s="1"/>
    </row>
    <row r="23" spans="1:7" ht="17.100000000000001" customHeight="1" x14ac:dyDescent="0.25">
      <c r="A23" s="1"/>
      <c r="B23" s="45" t="s">
        <v>157</v>
      </c>
      <c r="C23" s="11">
        <f>-C22*(GenereltKravDrift+'Fane 6. Individuelt eff. krav'!G9)</f>
        <v>-1857.5516551953729</v>
      </c>
      <c r="D23" s="8" t="s">
        <v>3</v>
      </c>
      <c r="E23" s="12"/>
      <c r="F23" s="13"/>
      <c r="G23" s="1"/>
    </row>
    <row r="24" spans="1:7" ht="17.100000000000001" customHeight="1" x14ac:dyDescent="0.25">
      <c r="A24" s="1"/>
      <c r="B24" s="29" t="s">
        <v>158</v>
      </c>
      <c r="C24" s="17">
        <f>SUM(C22:C23)</f>
        <v>63158.512902334624</v>
      </c>
      <c r="D24" s="18" t="s">
        <v>3</v>
      </c>
      <c r="E24" s="17">
        <f>C24</f>
        <v>63158.512902334624</v>
      </c>
      <c r="F24" s="18" t="s">
        <v>3</v>
      </c>
      <c r="G24" s="1"/>
    </row>
    <row r="25" spans="1:7" ht="15" customHeight="1" x14ac:dyDescent="0.25">
      <c r="A25" s="1"/>
      <c r="B25" s="41" t="s">
        <v>23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23</v>
      </c>
      <c r="C26" s="17">
        <f>'Fane 5. Ikke-påvirkelige omk.'!E17</f>
        <v>31682448.378268819</v>
      </c>
      <c r="D26" s="18" t="s">
        <v>3</v>
      </c>
      <c r="E26" s="17">
        <f>C26</f>
        <v>31682448.378268819</v>
      </c>
      <c r="F26" s="18" t="s">
        <v>3</v>
      </c>
      <c r="G26" s="1"/>
    </row>
    <row r="27" spans="1:7" ht="15" customHeight="1" x14ac:dyDescent="0.25">
      <c r="A27" s="1"/>
      <c r="B27" s="41" t="s">
        <v>84</v>
      </c>
      <c r="C27" s="42"/>
      <c r="D27" s="42"/>
      <c r="E27" s="42"/>
      <c r="F27" s="43"/>
      <c r="G27" s="1"/>
    </row>
    <row r="28" spans="1:7" ht="28.5" customHeight="1" x14ac:dyDescent="0.25">
      <c r="A28" s="1"/>
      <c r="B28" s="29" t="s">
        <v>57</v>
      </c>
      <c r="C28" s="17">
        <v>153938.24119170924</v>
      </c>
      <c r="D28" s="18" t="s">
        <v>3</v>
      </c>
      <c r="E28" s="17">
        <f>C28</f>
        <v>153938.24119170924</v>
      </c>
      <c r="F28" s="18" t="s">
        <v>3</v>
      </c>
      <c r="G28" s="1"/>
    </row>
    <row r="29" spans="1:7" x14ac:dyDescent="0.25">
      <c r="A29" s="1"/>
      <c r="B29" s="41" t="s">
        <v>16</v>
      </c>
      <c r="C29" s="42"/>
      <c r="D29" s="42"/>
      <c r="E29" s="42"/>
      <c r="F29" s="43"/>
      <c r="G29" s="1"/>
    </row>
    <row r="30" spans="1:7" ht="15" customHeight="1" x14ac:dyDescent="0.25">
      <c r="A30" s="1"/>
      <c r="B30" s="29" t="s">
        <v>25</v>
      </c>
      <c r="C30" s="17">
        <f>'Fane 8. Hist. over el. underdæk'!G13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x14ac:dyDescent="0.25">
      <c r="A31" s="1"/>
      <c r="B31" s="41" t="s">
        <v>109</v>
      </c>
      <c r="C31" s="42"/>
      <c r="D31" s="42"/>
      <c r="E31" s="42"/>
      <c r="F31" s="43"/>
      <c r="G31" s="1"/>
    </row>
    <row r="32" spans="1:7" ht="15" customHeight="1" x14ac:dyDescent="0.25">
      <c r="A32" s="1"/>
      <c r="B32" s="29" t="s">
        <v>113</v>
      </c>
      <c r="C32" s="17">
        <f>'Fane 9. Kontrol af ØR2017'!G30</f>
        <v>192255.1041131161</v>
      </c>
      <c r="D32" s="18" t="s">
        <v>3</v>
      </c>
      <c r="E32" s="17">
        <f>C32</f>
        <v>192255.1041131161</v>
      </c>
      <c r="F32" s="18" t="s">
        <v>3</v>
      </c>
      <c r="G32" s="1"/>
    </row>
    <row r="33" spans="1:7" x14ac:dyDescent="0.25">
      <c r="A33" s="1"/>
      <c r="B33" s="41" t="s">
        <v>36</v>
      </c>
      <c r="C33" s="42"/>
      <c r="D33" s="43"/>
      <c r="E33" s="20">
        <f>SUM(E20,E24,E26,E28,E30,E32:E32)</f>
        <v>59661876.548824541</v>
      </c>
      <c r="F33" s="21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48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27570076.312348567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465934.28967869072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-240287.01983810554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-221258.59472863845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-177293.57155760861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27397171.415902905</v>
      </c>
      <c r="D14" s="18" t="s">
        <v>3</v>
      </c>
      <c r="E14" s="17">
        <f>C14</f>
        <v>27397171.415902905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omk.'!E17*(1+Prisudvikling2019)</f>
        <v>32217881.755861558</v>
      </c>
      <c r="D16" s="18" t="s">
        <v>3</v>
      </c>
      <c r="E16" s="17">
        <f>C16</f>
        <v>32217881.755861558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2019'!C32*(1+Prisudvikling2019)</f>
        <v>195504.21537262775</v>
      </c>
      <c r="D20" s="18" t="s">
        <v>3</v>
      </c>
      <c r="E20" s="17">
        <f>C20</f>
        <v>195504.21537262775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59810557.387137093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114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9" t="s">
        <v>49</v>
      </c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27397171.415902905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463012.19692875905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-238780.06708934819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-220497.90767996135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-178721.31137055487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27222184.326691799</v>
      </c>
      <c r="D13" s="18" t="s">
        <v>3</v>
      </c>
      <c r="E13" s="17">
        <f>C13</f>
        <v>27222184.326691799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omk.'!E17*(1+Prisudvikling2019)^2</f>
        <v>32762363.957535617</v>
      </c>
      <c r="D15" s="18" t="s">
        <v>3</v>
      </c>
      <c r="E15" s="17">
        <f>C15</f>
        <v>32762363.957535617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59984548.284227416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115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9" t="s">
        <v>49</v>
      </c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27222184.326691799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460054.91512109136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-237254.96698805288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-219739.83587335763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-180160.5487293826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27045083.890222095</v>
      </c>
      <c r="D13" s="18" t="s">
        <v>3</v>
      </c>
      <c r="E13" s="17">
        <f>C13</f>
        <v>27045083.890222095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omk.'!E17*(1+Prisudvikling2019)^3</f>
        <v>33316047.908417962</v>
      </c>
      <c r="D15" s="18" t="s">
        <v>3</v>
      </c>
      <c r="E15" s="17">
        <f>C15</f>
        <v>33316047.908417962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60361131.798640057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116</v>
      </c>
      <c r="C3" s="90"/>
      <c r="D3" s="90"/>
      <c r="E3" s="90"/>
      <c r="F3" s="90"/>
      <c r="G3" s="90"/>
      <c r="H3" s="90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57593193.393747211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31010309.36463321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26582884.029114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133</v>
      </c>
      <c r="C3" s="90"/>
      <c r="D3" s="90"/>
      <c r="E3" s="90"/>
      <c r="F3" s="90"/>
      <c r="G3" s="90"/>
      <c r="H3" s="1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62</v>
      </c>
      <c r="C8" s="96"/>
      <c r="D8" s="96"/>
      <c r="E8" s="96"/>
      <c r="F8" s="96"/>
      <c r="G8" s="97"/>
      <c r="H8" s="1"/>
      <c r="I8" s="1"/>
    </row>
    <row r="9" spans="1:9" x14ac:dyDescent="0.25">
      <c r="A9" s="1"/>
      <c r="B9" s="92" t="s">
        <v>63</v>
      </c>
      <c r="C9" s="93"/>
      <c r="D9" s="93"/>
      <c r="E9" s="94"/>
      <c r="F9" s="11">
        <v>10646230.818906799</v>
      </c>
      <c r="G9" s="22" t="s">
        <v>3</v>
      </c>
      <c r="H9" s="1"/>
      <c r="I9" s="1"/>
    </row>
    <row r="10" spans="1:9" x14ac:dyDescent="0.25">
      <c r="A10" s="1"/>
      <c r="B10" s="92" t="s">
        <v>64</v>
      </c>
      <c r="C10" s="93"/>
      <c r="D10" s="93"/>
      <c r="E10" s="94"/>
      <c r="F10" s="11">
        <v>14485768.204734059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5" t="s">
        <v>69</v>
      </c>
      <c r="C14" s="96"/>
      <c r="D14" s="96"/>
      <c r="E14" s="96"/>
      <c r="F14" s="96"/>
      <c r="G14" s="97"/>
      <c r="H14" s="1"/>
      <c r="I14" s="1"/>
    </row>
    <row r="15" spans="1:9" x14ac:dyDescent="0.25">
      <c r="A15" s="1"/>
      <c r="B15" s="92" t="s">
        <v>37</v>
      </c>
      <c r="C15" s="93"/>
      <c r="D15" s="93"/>
      <c r="E15" s="94"/>
      <c r="F15" s="11">
        <v>10526482.13507228</v>
      </c>
      <c r="G15" s="22" t="s">
        <v>3</v>
      </c>
      <c r="H15" s="1"/>
      <c r="I15" s="1"/>
    </row>
    <row r="16" spans="1:9" x14ac:dyDescent="0.25">
      <c r="A16" s="1"/>
      <c r="B16" s="92" t="s">
        <v>38</v>
      </c>
      <c r="C16" s="93"/>
      <c r="D16" s="93"/>
      <c r="E16" s="94"/>
      <c r="F16" s="11">
        <v>14544582.243472578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5" t="s">
        <v>29</v>
      </c>
      <c r="C20" s="96"/>
      <c r="D20" s="96"/>
      <c r="E20" s="96"/>
      <c r="F20" s="96"/>
      <c r="G20" s="97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8" t="s">
        <v>65</v>
      </c>
      <c r="C22" s="99"/>
      <c r="D22" s="53">
        <f>F15-F9</f>
        <v>-119748.68383451924</v>
      </c>
      <c r="E22" s="22" t="s">
        <v>3</v>
      </c>
      <c r="F22" s="11">
        <f>D22*(1+Prisudvikling2019)</f>
        <v>-121772.43659132261</v>
      </c>
      <c r="G22" s="22" t="s">
        <v>3</v>
      </c>
      <c r="H22" s="1"/>
      <c r="I22" s="1"/>
    </row>
    <row r="23" spans="1:9" ht="15" customHeight="1" x14ac:dyDescent="0.25">
      <c r="A23" s="1"/>
      <c r="B23" s="98" t="s">
        <v>66</v>
      </c>
      <c r="C23" s="99"/>
      <c r="D23" s="53">
        <f>F16-F10</f>
        <v>58814.038738518953</v>
      </c>
      <c r="E23" s="22" t="s">
        <v>3</v>
      </c>
      <c r="F23" s="11">
        <f>D23*(1+Prisudvikling2019)</f>
        <v>59807.995993199918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91" t="s">
        <v>97</v>
      </c>
      <c r="C26" s="91"/>
      <c r="D26" s="91"/>
      <c r="E26" s="91"/>
      <c r="F26" s="91"/>
      <c r="G26" s="91"/>
      <c r="H26" s="1"/>
      <c r="I26" s="1"/>
    </row>
    <row r="27" spans="1:9" ht="27.75" customHeight="1" x14ac:dyDescent="0.25">
      <c r="A27" s="1"/>
      <c r="B27" s="91" t="s">
        <v>139</v>
      </c>
      <c r="C27" s="91"/>
      <c r="D27" s="91"/>
      <c r="E27" s="91"/>
      <c r="F27" s="91"/>
      <c r="G27" s="9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134</v>
      </c>
      <c r="C3" s="88"/>
      <c r="D3" s="88"/>
      <c r="E3" s="88"/>
      <c r="F3" s="88"/>
      <c r="G3" s="1"/>
      <c r="H3" s="1"/>
    </row>
    <row r="4" spans="1:8" ht="1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5" t="s">
        <v>68</v>
      </c>
      <c r="C8" s="96"/>
      <c r="D8" s="96"/>
      <c r="E8" s="96"/>
      <c r="F8" s="97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190</v>
      </c>
      <c r="C10" s="48"/>
      <c r="D10" s="49"/>
      <c r="E10" s="11">
        <f>21036987+494495</f>
        <v>21531482</v>
      </c>
      <c r="F10" s="22" t="s">
        <v>3</v>
      </c>
      <c r="G10" s="1"/>
      <c r="H10" s="1"/>
    </row>
    <row r="11" spans="1:8" x14ac:dyDescent="0.25">
      <c r="A11" s="1"/>
      <c r="B11" s="44" t="s">
        <v>192</v>
      </c>
      <c r="C11" s="48"/>
      <c r="D11" s="49"/>
      <c r="E11" s="11">
        <v>1759.06</v>
      </c>
      <c r="F11" s="22" t="s">
        <v>3</v>
      </c>
      <c r="G11" s="1"/>
      <c r="H11" s="1"/>
    </row>
    <row r="12" spans="1:8" x14ac:dyDescent="0.25">
      <c r="A12" s="1"/>
      <c r="B12" s="44" t="s">
        <v>150</v>
      </c>
      <c r="C12" s="48"/>
      <c r="D12" s="49"/>
      <c r="E12" s="11">
        <v>67427</v>
      </c>
      <c r="F12" s="22" t="s">
        <v>3</v>
      </c>
      <c r="G12" s="1"/>
      <c r="H12" s="1"/>
    </row>
    <row r="13" spans="1:8" ht="26.25" x14ac:dyDescent="0.25">
      <c r="A13" s="1"/>
      <c r="B13" s="44" t="s">
        <v>151</v>
      </c>
      <c r="C13" s="48"/>
      <c r="D13" s="49"/>
      <c r="E13" s="11">
        <v>8912553</v>
      </c>
      <c r="F13" s="22" t="s">
        <v>3</v>
      </c>
      <c r="G13" s="1"/>
      <c r="H13" s="1"/>
    </row>
    <row r="14" spans="1:8" x14ac:dyDescent="0.25">
      <c r="A14" s="1"/>
      <c r="B14" s="44" t="s">
        <v>152</v>
      </c>
      <c r="C14" s="48"/>
      <c r="D14" s="49"/>
      <c r="E14" s="11">
        <v>42303</v>
      </c>
      <c r="F14" s="22" t="s">
        <v>3</v>
      </c>
      <c r="G14" s="1"/>
      <c r="H14" s="1"/>
    </row>
    <row r="15" spans="1:8" x14ac:dyDescent="0.25">
      <c r="A15" s="1"/>
      <c r="B15" s="44" t="s">
        <v>191</v>
      </c>
      <c r="C15" s="48"/>
      <c r="D15" s="49"/>
      <c r="E15" s="11">
        <v>82605</v>
      </c>
      <c r="F15" s="22" t="s">
        <v>3</v>
      </c>
      <c r="G15" s="1"/>
      <c r="H15" s="1"/>
    </row>
    <row r="16" spans="1:8" x14ac:dyDescent="0.25">
      <c r="A16" s="1"/>
      <c r="B16" s="41" t="s">
        <v>140</v>
      </c>
      <c r="C16" s="42"/>
      <c r="D16" s="43"/>
      <c r="E16" s="20">
        <f>SUM(E10:E15)</f>
        <v>30638129.059999999</v>
      </c>
      <c r="F16" s="21" t="s">
        <v>3</v>
      </c>
      <c r="G16" s="1"/>
      <c r="H16" s="1"/>
    </row>
    <row r="17" spans="1:8" x14ac:dyDescent="0.25">
      <c r="A17" s="1"/>
      <c r="B17" s="41" t="s">
        <v>141</v>
      </c>
      <c r="C17" s="42"/>
      <c r="D17" s="43"/>
      <c r="E17" s="20">
        <f>E16*(1+Prisudvikling2019)^2</f>
        <v>31682448.378268819</v>
      </c>
      <c r="F17" s="21" t="s">
        <v>3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14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14</v>
      </c>
      <c r="C9" s="93"/>
      <c r="D9" s="93"/>
      <c r="E9" s="93"/>
      <c r="F9" s="94"/>
      <c r="G9" s="54">
        <v>8.5706566190530201E-3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100" t="s">
        <v>80</v>
      </c>
      <c r="C12" s="100"/>
      <c r="D12" s="100"/>
      <c r="E12" s="100"/>
      <c r="F12" s="100"/>
      <c r="G12" s="100"/>
      <c r="H12" s="100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2018-10-12T13:33:26Z</dcterms:modified>
</cp:coreProperties>
</file>