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18" i="23" l="1"/>
  <c r="C17" i="23"/>
  <c r="E17" i="23" s="1"/>
  <c r="E18" i="22"/>
  <c r="C17" i="22"/>
  <c r="E17" i="22" s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3" i="11"/>
  <c r="D10" i="20" s="1"/>
  <c r="G13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2" i="11" l="1"/>
  <c r="D12" i="20" l="1"/>
  <c r="C12" i="2" s="1"/>
  <c r="C18" i="2" s="1"/>
  <c r="C12" i="15" l="1"/>
  <c r="C11" i="22" s="1"/>
  <c r="C11" i="23" s="1"/>
  <c r="E11" i="11"/>
  <c r="E10" i="11" l="1"/>
  <c r="E13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s="1"/>
  <c r="C14" i="15" l="1"/>
  <c r="E14" i="15" s="1"/>
  <c r="E21" i="15" s="1"/>
  <c r="C8" i="22" l="1"/>
  <c r="C9" i="22" s="1"/>
  <c r="C10" i="22" l="1"/>
  <c r="C13" i="22" s="1"/>
  <c r="E13" i="22" s="1"/>
  <c r="C8" i="23" l="1"/>
  <c r="C9" i="23" l="1"/>
  <c r="C10" i="23" s="1"/>
  <c r="C13" i="23" l="1"/>
  <c r="E13" i="23" s="1"/>
</calcChain>
</file>

<file path=xl/sharedStrings.xml><?xml version="1.0" encoding="utf-8"?>
<sst xmlns="http://schemas.openxmlformats.org/spreadsheetml/2006/main" count="316" uniqueCount="158">
  <si>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</si>
  <si>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</si>
  <si>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</si>
  <si>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</si>
  <si>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</si>
  <si>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</si>
  <si>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</si>
  <si>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</si>
  <si>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</si>
  <si>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</si>
  <si>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</si>
  <si>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</si>
  <si>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</si>
  <si>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</si>
  <si>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</si>
  <si>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</si>
  <si>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</si>
  <si>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</si>
  <si>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</si>
  <si>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</si>
  <si>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</si>
  <si>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</si>
  <si>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</si>
  <si>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</si>
  <si>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</si>
  <si>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</si>
  <si>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</si>
  <si>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</si>
  <si>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</si>
  <si>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</si>
  <si>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</si>
  <si>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</si>
  <si>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</si>
  <si>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</si>
  <si>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</si>
  <si>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</si>
  <si>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</si>
  <si>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</si>
  <si>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</si>
  <si>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</si>
  <si>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</si>
  <si>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</si>
  <si>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</si>
  <si>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</si>
  <si>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</si>
  <si>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</si>
  <si>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</si>
  <si>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</si>
  <si>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</si>
  <si>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</si>
  <si>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</si>
  <si>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</si>
  <si>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</si>
  <si>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</si>
  <si>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</si>
  <si>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</si>
  <si>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</si>
  <si>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</si>
  <si>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</si>
  <si>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</si>
  <si>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</si>
  <si>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</si>
  <si>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</si>
  <si>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</si>
  <si>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</si>
  <si>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</si>
  <si>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</si>
  <si>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</si>
  <si>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</si>
  <si>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</si>
  <si>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</si>
  <si>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</si>
  <si>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</si>
  <si>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</si>
  <si>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</si>
  <si>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</si>
  <si>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</si>
  <si>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</si>
  <si>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</si>
  <si>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</si>
  <si>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</si>
  <si>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</si>
  <si>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</si>
  <si>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</si>
  <si>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</si>
  <si>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</si>
  <si>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</si>
  <si>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</si>
  <si>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</si>
  <si>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</si>
  <si>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</si>
  <si>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</si>
  <si>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</si>
  <si>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</si>
  <si>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</si>
  <si>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</si>
  <si>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</si>
  <si>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</si>
  <si>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</si>
  <si>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</si>
  <si>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</si>
  <si>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</si>
  <si>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</si>
  <si>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</si>
  <si>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</si>
  <si>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</si>
  <si>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</si>
  <si>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</si>
  <si>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Fordeling per år i reguleringsperiode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</si>
  <si>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</si>
  <si>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</si>
  <si>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</si>
  <si>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</si>
  <si>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</si>
  <si>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</si>
  <si>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</si>
  <si>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</si>
  <si>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</si>
  <si>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</si>
  <si>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</si>
  <si>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</si>
  <si>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</si>
  <si>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</si>
  <si>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</si>
  <si>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</si>
  <si>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</si>
  <si>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</si>
  <si>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</si>
  <si>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</si>
  <si>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</si>
  <si>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</si>
  <si>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</si>
  <si>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</si>
  <si>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</si>
  <si>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</si>
  <si>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</si>
  <si>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</si>
  <si>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</si>
  <si>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</si>
  <si>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</si>
  <si>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</si>
  <si>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</si>
  <si>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</si>
  <si>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</si>
  <si>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</si>
  <si>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</si>
  <si>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til Forsyningsekretariatet</t>
  </si>
  <si>
    <t>Skatter og afgifter</t>
  </si>
  <si>
    <t>Ingen bortfald eller nedsættelse</t>
  </si>
  <si>
    <t>Fane 12: Bortfald eller nedsættelse af omkostninger til mål, medfinansiering eller udvidelse</t>
  </si>
  <si>
    <t>Fane 13: Nøgletal</t>
  </si>
  <si>
    <t>Ø110 mm &lt; Ledningsnet ≤ Ø 250 mm</t>
  </si>
  <si>
    <t>Ø 50mm &lt; Ledningsnet ≤ Ø110 mm</t>
  </si>
  <si>
    <t>SRO-brønd/kvarterbrønd/sektionsbrønd, Konstruktioner</t>
  </si>
  <si>
    <t>Afgift for ledningsført vand</t>
  </si>
  <si>
    <t>Til indregning i de økonomiske rammer for 2019-2022</t>
  </si>
  <si>
    <t>Tillæg/fradrag i den økonomiske ramme for 2019-2022 i alt (2017-prisniveau)</t>
  </si>
  <si>
    <t>Tillæg/fradrag i den økonomiske ramme for 2019-2022 i alt (2019-prisniveau)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</si>
</sst>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133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116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115</v>
      </c>
      <c r="D15" s="65" t="s">
        <v>118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117</v>
      </c>
      <c r="D16" s="65" t="s">
        <v>134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119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127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120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128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121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123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122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124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125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126</v>
      </c>
      <c r="D27" s="83" t="s">
        <v>57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114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84</v>
      </c>
      <c r="C9" s="91"/>
      <c r="D9" s="91"/>
      <c r="E9" s="91"/>
      <c r="F9" s="92"/>
      <c r="G9" s="55">
        <v>72459.600707433216</v>
      </c>
      <c r="H9" s="22" t="s">
        <v>3</v>
      </c>
      <c r="I9" s="1"/>
    </row>
    <row r="10" spans="1:9" x14ac:dyDescent="0.25">
      <c r="A10" s="1"/>
      <c r="B10" s="90" t="s">
        <v>85</v>
      </c>
      <c r="C10" s="91"/>
      <c r="D10" s="91"/>
      <c r="E10" s="91"/>
      <c r="F10" s="92"/>
      <c r="G10" s="55">
        <f>G9/G17</f>
        <v>3622980.0353716607</v>
      </c>
      <c r="H10" s="22" t="s">
        <v>3</v>
      </c>
      <c r="I10" s="1"/>
    </row>
    <row r="11" spans="1:9" x14ac:dyDescent="0.25">
      <c r="A11" s="1"/>
      <c r="B11" s="90" t="s">
        <v>86</v>
      </c>
      <c r="C11" s="91"/>
      <c r="D11" s="91"/>
      <c r="E11" s="91"/>
      <c r="F11" s="92"/>
      <c r="G11" s="55">
        <v>48864.058894751564</v>
      </c>
      <c r="H11" s="22" t="s">
        <v>3</v>
      </c>
      <c r="I11" s="1"/>
    </row>
    <row r="12" spans="1:9" x14ac:dyDescent="0.25">
      <c r="A12" s="1"/>
      <c r="B12" s="90" t="s">
        <v>87</v>
      </c>
      <c r="C12" s="91"/>
      <c r="D12" s="91"/>
      <c r="E12" s="91"/>
      <c r="F12" s="92"/>
      <c r="G12" s="55">
        <f>G11/G19</f>
        <v>5369676.8016210506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89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88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90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145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131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1043258</v>
      </c>
      <c r="H9" s="22" t="s">
        <v>3</v>
      </c>
      <c r="I9" s="1"/>
    </row>
    <row r="10" spans="1:9" x14ac:dyDescent="0.25">
      <c r="A10" s="1"/>
      <c r="B10" s="90" t="s">
        <v>52</v>
      </c>
      <c r="C10" s="91"/>
      <c r="D10" s="91"/>
      <c r="E10" s="91"/>
      <c r="F10" s="92"/>
      <c r="G10" s="11">
        <v>1043258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97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92</v>
      </c>
      <c r="C9" s="91"/>
      <c r="D9" s="92"/>
      <c r="E9" s="11">
        <v>16093816.269081067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93</v>
      </c>
      <c r="C10" s="91"/>
      <c r="D10" s="92"/>
      <c r="E10" s="11">
        <v>13722166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98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105</v>
      </c>
      <c r="C12" s="103"/>
      <c r="D12" s="104"/>
      <c r="E12" s="17">
        <f>E9-(E10-E11)</f>
        <v>2371650.2690810673</v>
      </c>
      <c r="F12" s="25" t="s">
        <v>3</v>
      </c>
      <c r="G12" s="17">
        <f>E12</f>
        <v>2371650.2690810673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102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100</v>
      </c>
      <c r="C17" s="91"/>
      <c r="D17" s="92"/>
      <c r="E17" s="11">
        <v>168791.79786666669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101</v>
      </c>
      <c r="C18" s="91"/>
      <c r="D18" s="92"/>
      <c r="E18" s="11">
        <v>-307191.12911295518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103</v>
      </c>
      <c r="C19" s="103"/>
      <c r="D19" s="104"/>
      <c r="E19" s="17">
        <f>SUM(E17:E18)</f>
        <v>-138399.33124628849</v>
      </c>
      <c r="F19" s="25" t="s">
        <v>3</v>
      </c>
      <c r="G19" s="17">
        <f>E19</f>
        <v>-138399.33124628849</v>
      </c>
      <c r="H19" s="25" t="s">
        <v>3</v>
      </c>
      <c r="I19" s="1"/>
    </row>
    <row r="20" spans="1:9" x14ac:dyDescent="0.25">
      <c r="A20" s="1"/>
      <c r="B20" s="102" t="s">
        <v>104</v>
      </c>
      <c r="C20" s="103"/>
      <c r="D20" s="104"/>
      <c r="E20" s="17">
        <f>SUM(E17:E18)*(1+Prisudvikling2018)</f>
        <v>-140821.31954309857</v>
      </c>
      <c r="F20" s="25" t="s">
        <v>3</v>
      </c>
      <c r="G20" s="17">
        <f>E20</f>
        <v>-140821.31954309857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155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107</v>
      </c>
      <c r="C25" s="109"/>
      <c r="D25" s="110"/>
      <c r="E25" s="11">
        <f>IF(E12&lt;0,E20+E12,IF(E20+E12&lt;0,E20+E12,IF(E20&lt;0,0,E20)))</f>
        <v>0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99</v>
      </c>
      <c r="C26" s="109"/>
      <c r="D26" s="110"/>
      <c r="E26" s="11">
        <v>4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108</v>
      </c>
      <c r="C27" s="109"/>
      <c r="D27" s="110"/>
      <c r="E27" s="11">
        <f>E25/E26</f>
        <v>0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106</v>
      </c>
      <c r="C28" s="106"/>
      <c r="D28" s="107"/>
      <c r="E28" s="11">
        <f>IF(E20+E12&gt;0,E12-(E25-E20),0)</f>
        <v>2230828.9495379687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156</v>
      </c>
      <c r="C29" s="94"/>
      <c r="D29" s="94"/>
      <c r="E29" s="94"/>
      <c r="F29" s="95"/>
      <c r="G29" s="20">
        <f>E27</f>
        <v>0</v>
      </c>
      <c r="H29" s="21" t="s">
        <v>3</v>
      </c>
      <c r="I29" s="1"/>
    </row>
    <row r="30" spans="1:9" x14ac:dyDescent="0.25">
      <c r="A30" s="1"/>
      <c r="B30" s="93" t="s">
        <v>157</v>
      </c>
      <c r="C30" s="94"/>
      <c r="D30" s="94"/>
      <c r="E30" s="94"/>
      <c r="F30" s="95"/>
      <c r="G30" s="20">
        <f>G29*(1+Prisudvikling2019)^2</f>
        <v>0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139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91</v>
      </c>
      <c r="H9" s="36"/>
      <c r="I9" s="1"/>
    </row>
    <row r="10" spans="1:9" ht="26.25" x14ac:dyDescent="0.25">
      <c r="A10" s="1"/>
      <c r="B10" s="60" t="s">
        <v>151</v>
      </c>
      <c r="C10" s="61">
        <v>75</v>
      </c>
      <c r="D10" s="11">
        <v>988389.79</v>
      </c>
      <c r="E10" s="11">
        <f>D10/C10</f>
        <v>13178.530533333334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152</v>
      </c>
      <c r="C11" s="61">
        <v>75</v>
      </c>
      <c r="D11" s="11">
        <v>804915.94</v>
      </c>
      <c r="E11" s="11">
        <f t="shared" ref="E11:E12" si="0">D11/C11</f>
        <v>10732.212533333333</v>
      </c>
      <c r="F11" s="11">
        <v>0</v>
      </c>
      <c r="G11" s="11">
        <v>0</v>
      </c>
      <c r="H11" s="22" t="s">
        <v>3</v>
      </c>
      <c r="I11" s="1"/>
    </row>
    <row r="12" spans="1:9" ht="39" x14ac:dyDescent="0.25">
      <c r="A12" s="1"/>
      <c r="B12" s="60" t="s">
        <v>153</v>
      </c>
      <c r="C12" s="61">
        <v>50</v>
      </c>
      <c r="D12" s="11">
        <v>142137.23000000001</v>
      </c>
      <c r="E12" s="11">
        <f t="shared" si="0"/>
        <v>2842.7446</v>
      </c>
      <c r="F12" s="11">
        <v>0</v>
      </c>
      <c r="G12" s="11">
        <v>0</v>
      </c>
      <c r="H12" s="22" t="s">
        <v>3</v>
      </c>
      <c r="I12" s="1"/>
    </row>
    <row r="13" spans="1:9" x14ac:dyDescent="0.25">
      <c r="A13" s="1"/>
      <c r="B13" s="93" t="s">
        <v>140</v>
      </c>
      <c r="C13" s="94"/>
      <c r="D13" s="95"/>
      <c r="E13" s="20">
        <f>SUM(E10:E12)</f>
        <v>26753.487666666668</v>
      </c>
      <c r="F13" s="20">
        <f t="shared" ref="F13:G13" si="1">SUM(F10:F12)</f>
        <v>0</v>
      </c>
      <c r="G13" s="20">
        <f t="shared" si="1"/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94</v>
      </c>
      <c r="G9" s="36"/>
      <c r="H9" s="1"/>
    </row>
    <row r="10" spans="1:8" x14ac:dyDescent="0.25">
      <c r="A10" s="1"/>
      <c r="B10" s="56" t="s">
        <v>139</v>
      </c>
      <c r="C10" s="57"/>
      <c r="D10" s="53">
        <f>'Fane 10. Anlægsprojekter'!F13</f>
        <v>0</v>
      </c>
      <c r="E10" s="22" t="s">
        <v>3</v>
      </c>
      <c r="F10" s="11">
        <f>SUM('Fane 10. Anlægsprojekter'!E13,'Fane 10. Anlægsprojekter'!G13)</f>
        <v>26753.487666666668</v>
      </c>
      <c r="G10" s="22" t="s">
        <v>3</v>
      </c>
      <c r="H10" s="1"/>
    </row>
    <row r="11" spans="1:8" x14ac:dyDescent="0.25">
      <c r="A11" s="1"/>
      <c r="B11" s="41" t="s">
        <v>141</v>
      </c>
      <c r="C11" s="43"/>
      <c r="D11" s="20">
        <f>SUM(D10:D10)</f>
        <v>0</v>
      </c>
      <c r="E11" s="21" t="s">
        <v>3</v>
      </c>
      <c r="F11" s="20">
        <f>SUM(F10:F10)</f>
        <v>26753.487666666668</v>
      </c>
      <c r="G11" s="21" t="s">
        <v>3</v>
      </c>
      <c r="H11" s="1"/>
    </row>
    <row r="12" spans="1:8" x14ac:dyDescent="0.25">
      <c r="A12" s="1"/>
      <c r="B12" s="41" t="s">
        <v>142</v>
      </c>
      <c r="C12" s="43"/>
      <c r="D12" s="20">
        <f>D11*(1+Prisudvikling2019)</f>
        <v>0</v>
      </c>
      <c r="E12" s="21" t="s">
        <v>3</v>
      </c>
      <c r="F12" s="20">
        <f>F11*(1+Prisudvikling2019)</f>
        <v>27205.621608233334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149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94</v>
      </c>
      <c r="G9" s="36"/>
      <c r="H9" s="1"/>
    </row>
    <row r="10" spans="1:8" x14ac:dyDescent="0.25">
      <c r="A10" s="1"/>
      <c r="B10" s="56" t="s">
        <v>148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143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144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150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49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50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51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55</v>
      </c>
      <c r="C9" s="7">
        <f>'Fane 3. Omkostninger i ØR2018'!G11</f>
        <v>8784476.4604619667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72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71</v>
      </c>
      <c r="C11" s="7">
        <f>'Fane 4. Korrigeret grundlag'!F23</f>
        <v>87464.007995296794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76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75</v>
      </c>
      <c r="C13" s="11">
        <f>'Fane 11. Tillæg'!F12</f>
        <v>27205.621608233334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78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77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150395.56892210688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0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69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-72210.48460020106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70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-48087.875612473166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8929243.2987749279</v>
      </c>
      <c r="D20" s="18" t="s">
        <v>3</v>
      </c>
      <c r="E20" s="17">
        <f>C20</f>
        <v>8929243.2987749279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6026080.1198232789</v>
      </c>
      <c r="D22" s="18" t="s">
        <v>3</v>
      </c>
      <c r="E22" s="17">
        <f>C22</f>
        <v>6026080.1198232789</v>
      </c>
      <c r="F22" s="18" t="s">
        <v>3</v>
      </c>
      <c r="G22" s="1"/>
    </row>
    <row r="23" spans="1:7" ht="15" customHeight="1" x14ac:dyDescent="0.25">
      <c r="A23" s="1"/>
      <c r="B23" s="41" t="s">
        <v>83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56</v>
      </c>
      <c r="C24" s="17">
        <v>30445.8493720931</v>
      </c>
      <c r="D24" s="18" t="s">
        <v>3</v>
      </c>
      <c r="E24" s="17">
        <f>C24</f>
        <v>30445.8493720931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107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109</v>
      </c>
      <c r="C28" s="17">
        <f>'Fane 9. Kontrol af ØR2017'!G30</f>
        <v>0</v>
      </c>
      <c r="D28" s="18" t="s">
        <v>3</v>
      </c>
      <c r="E28" s="17">
        <f>C28</f>
        <v>0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14985769.267970299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58</v>
      </c>
      <c r="C9" s="7">
        <f>'Fane 2.1. Økonomisk ramme 2019'!E20</f>
        <v>8929243.2987749279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150904.21174929626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69</v>
      </c>
      <c r="C12" s="11">
        <f>('Fane 2.1. Økonomisk ramme 2019'!C18/GenereltKravDrift-'Fane 2.1. Økonomisk ramme 2019'!C18)*(1+Prisudvikling2019)*GenereltKravDrift</f>
        <v>-71962.224954145568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70</v>
      </c>
      <c r="C13" s="11">
        <f>('Fane 2.1. Økonomisk ramme 2019'!C19/GenereltKravAnlæg-'Fane 2.1. Økonomisk ramme 2019'!C19)*(1+Prisudvikling2019)*GenereltKravAnlæg</f>
        <v>-48475.125832144135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8959710.1597379353</v>
      </c>
      <c r="D14" s="18" t="s">
        <v>3</v>
      </c>
      <c r="E14" s="17">
        <f>C14</f>
        <v>8959710.1597379353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6127920.873848292</v>
      </c>
      <c r="D16" s="18" t="s">
        <v>3</v>
      </c>
      <c r="E16" s="17">
        <f>C16</f>
        <v>6127920.873848292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107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109</v>
      </c>
      <c r="C20" s="17">
        <f>'Fane 2.1. Økonomisk ramme 2019'!C28*(1+Prisudvikling2019)</f>
        <v>0</v>
      </c>
      <c r="D20" s="18" t="s">
        <v>3</v>
      </c>
      <c r="E20" s="17">
        <f>C20</f>
        <v>0</v>
      </c>
      <c r="F20" s="18" t="s">
        <v>3</v>
      </c>
      <c r="G20" s="1"/>
    </row>
    <row r="21" spans="1:7" x14ac:dyDescent="0.25">
      <c r="A21" s="1"/>
      <c r="B21" s="41" t="s">
        <v>59</v>
      </c>
      <c r="C21" s="42"/>
      <c r="D21" s="43"/>
      <c r="E21" s="20">
        <f>SUM(E14,E16,E18,E20:E20)</f>
        <v>15087631.033586226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60</v>
      </c>
      <c r="C8" s="7">
        <f>'Fane 2.2. Økonomisk ramme 2020'!E14</f>
        <v>8959710.1597379353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151419.1016995711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2.2. Økonomisk ramme 2020'!C12/GenereltKravDrift-'Fane 2.2. Økonomisk ramme 2020'!C12)*(1+Prisudvikling2019)*GenereltKravDrift</f>
        <v>-71714.818824753209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2.2. Økonomisk ramme 2020'!C13/GenereltKravAnlæg-'Fane 2.2. Økonomisk ramme 2020'!C13)*(1+Prisudvikling2019)*GenereltKravAnlæg</f>
        <v>-48865.494566216614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8990548.9480465353</v>
      </c>
      <c r="D13" s="18" t="s">
        <v>3</v>
      </c>
      <c r="E13" s="17">
        <f>C13</f>
        <v>8990548.9480465353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6231482.7366163274</v>
      </c>
      <c r="D15" s="18" t="s">
        <v>3</v>
      </c>
      <c r="E15" s="17">
        <f>C15</f>
        <v>6231482.7366163274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2.2. Økonomisk ramme 2020'!E20*(1+Prisudvikling2019)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1" t="s">
        <v>81</v>
      </c>
      <c r="C18" s="42"/>
      <c r="D18" s="43"/>
      <c r="E18" s="20">
        <f>SUM(E13,E15,E17)</f>
        <v>15222031.684662864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/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66</v>
      </c>
      <c r="C8" s="7">
        <f>'Fane 2.3. Økonomisk ramme 2021'!E13</f>
        <v>8990548.9480465353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151940.27722198644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0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69</v>
      </c>
      <c r="C11" s="11">
        <f>('Fane 2.3. Økonomisk ramme 2021'!C11/GenereltKravDrift-'Fane 2.3. Økonomisk ramme 2021'!C11)*(1+Prisudvikling2019)*GenereltKravDrift</f>
        <v>-71468.263277633698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70</v>
      </c>
      <c r="C12" s="11">
        <f>('Fane 2.3. Økonomisk ramme 2021'!C12/GenereltKravAnlæg-'Fane 2.3. Økonomisk ramme 2021'!C12)*(1+Prisudvikling2019)*GenereltKravAnlæg</f>
        <v>-49259.006927993505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9021761.955062896</v>
      </c>
      <c r="D13" s="18" t="s">
        <v>3</v>
      </c>
      <c r="E13" s="17">
        <f>C13</f>
        <v>9021761.955062896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6336794.7948651416</v>
      </c>
      <c r="D15" s="18" t="s">
        <v>3</v>
      </c>
      <c r="E15" s="17">
        <f>C15</f>
        <v>6336794.7948651416</v>
      </c>
      <c r="F15" s="18" t="s">
        <v>3</v>
      </c>
      <c r="G15" s="1"/>
    </row>
    <row r="16" spans="1:7" ht="15" customHeight="1" x14ac:dyDescent="0.25">
      <c r="A16" s="1"/>
      <c r="B16" s="41" t="s">
        <v>107</v>
      </c>
      <c r="C16" s="42"/>
      <c r="D16" s="42"/>
      <c r="E16" s="42"/>
      <c r="F16" s="43"/>
      <c r="G16" s="1"/>
    </row>
    <row r="17" spans="1:7" ht="15" customHeight="1" x14ac:dyDescent="0.25">
      <c r="A17" s="1"/>
      <c r="B17" s="29" t="s">
        <v>109</v>
      </c>
      <c r="C17" s="17">
        <f>'Fane 2.3. Økonomisk ramme 2021'!C17*(1+Prisudvikling2019)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1" t="s">
        <v>82</v>
      </c>
      <c r="C18" s="42"/>
      <c r="D18" s="43"/>
      <c r="E18" s="20">
        <f>SUM(E13,E15,E17)</f>
        <v>15358556.749928039</v>
      </c>
      <c r="F18" s="2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112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55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14913453.721859027</v>
      </c>
      <c r="H9" s="22" t="s">
        <v>3</v>
      </c>
      <c r="I9" s="1"/>
    </row>
    <row r="10" spans="1:9" x14ac:dyDescent="0.25">
      <c r="A10" s="1"/>
      <c r="B10" s="50" t="s">
        <v>54</v>
      </c>
      <c r="C10" s="48"/>
      <c r="D10" s="48"/>
      <c r="E10" s="48"/>
      <c r="F10" s="49"/>
      <c r="G10" s="11">
        <v>6128977.26139706</v>
      </c>
      <c r="H10" s="22" t="s">
        <v>3</v>
      </c>
      <c r="I10" s="1"/>
    </row>
    <row r="11" spans="1:9" ht="15" customHeight="1" x14ac:dyDescent="0.25">
      <c r="A11" s="1"/>
      <c r="B11" s="41" t="s">
        <v>55</v>
      </c>
      <c r="C11" s="51"/>
      <c r="D11" s="51"/>
      <c r="E11" s="51"/>
      <c r="F11" s="52"/>
      <c r="G11" s="33">
        <f>G9-G10</f>
        <v>8784476.4604619667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129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61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62</v>
      </c>
      <c r="C9" s="91"/>
      <c r="D9" s="91"/>
      <c r="E9" s="92"/>
      <c r="F9" s="11">
        <v>3650556.3379485239</v>
      </c>
      <c r="G9" s="22" t="s">
        <v>3</v>
      </c>
      <c r="H9" s="1"/>
      <c r="I9" s="1"/>
    </row>
    <row r="10" spans="1:9" x14ac:dyDescent="0.25">
      <c r="A10" s="1"/>
      <c r="B10" s="90" t="s">
        <v>63</v>
      </c>
      <c r="C10" s="91"/>
      <c r="D10" s="91"/>
      <c r="E10" s="92"/>
      <c r="F10" s="11">
        <v>5351031.5069074379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68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3650556.3379485239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5437041.9386070119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73</v>
      </c>
      <c r="E21" s="36"/>
      <c r="F21" s="46" t="s">
        <v>74</v>
      </c>
      <c r="G21" s="36"/>
      <c r="H21" s="1"/>
      <c r="I21" s="1"/>
    </row>
    <row r="22" spans="1:9" x14ac:dyDescent="0.25">
      <c r="A22" s="1"/>
      <c r="B22" s="96" t="s">
        <v>64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65</v>
      </c>
      <c r="C23" s="97"/>
      <c r="D23" s="53">
        <f>F16-F10</f>
        <v>86010.431699573994</v>
      </c>
      <c r="E23" s="22" t="s">
        <v>3</v>
      </c>
      <c r="F23" s="11">
        <f>D23*(1+Prisudvikling2019)</f>
        <v>87464.007995296794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96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135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130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67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95</v>
      </c>
      <c r="C9" s="30"/>
      <c r="D9" s="36"/>
      <c r="E9" s="18" t="s">
        <v>53</v>
      </c>
      <c r="F9" s="18"/>
      <c r="G9" s="1"/>
      <c r="H9" s="1"/>
    </row>
    <row r="10" spans="1:8" x14ac:dyDescent="0.25">
      <c r="A10" s="1"/>
      <c r="B10" s="44" t="s">
        <v>154</v>
      </c>
      <c r="C10" s="48"/>
      <c r="D10" s="49"/>
      <c r="E10" s="11">
        <v>5766775</v>
      </c>
      <c r="F10" s="22" t="s">
        <v>3</v>
      </c>
      <c r="G10" s="1"/>
      <c r="H10" s="1"/>
    </row>
    <row r="11" spans="1:8" x14ac:dyDescent="0.25">
      <c r="A11" s="1"/>
      <c r="B11" s="44" t="s">
        <v>146</v>
      </c>
      <c r="C11" s="48"/>
      <c r="D11" s="49"/>
      <c r="E11" s="11">
        <v>35239</v>
      </c>
      <c r="F11" s="22" t="s">
        <v>3</v>
      </c>
      <c r="G11" s="1"/>
      <c r="H11" s="1"/>
    </row>
    <row r="12" spans="1:8" x14ac:dyDescent="0.25">
      <c r="A12" s="1"/>
      <c r="B12" s="44" t="s">
        <v>147</v>
      </c>
      <c r="C12" s="48"/>
      <c r="D12" s="49"/>
      <c r="E12" s="11">
        <v>25434</v>
      </c>
      <c r="F12" s="22" t="s">
        <v>3</v>
      </c>
      <c r="G12" s="1"/>
      <c r="H12" s="1"/>
    </row>
    <row r="13" spans="1:8" x14ac:dyDescent="0.25">
      <c r="A13" s="1"/>
      <c r="B13" s="41" t="s">
        <v>136</v>
      </c>
      <c r="C13" s="42"/>
      <c r="D13" s="43"/>
      <c r="E13" s="20">
        <f>SUM(E10:E12)</f>
        <v>5827448</v>
      </c>
      <c r="F13" s="21" t="s">
        <v>3</v>
      </c>
      <c r="G13" s="1"/>
      <c r="H13" s="1"/>
    </row>
    <row r="14" spans="1:8" x14ac:dyDescent="0.25">
      <c r="A14" s="1"/>
      <c r="B14" s="41" t="s">
        <v>137</v>
      </c>
      <c r="C14" s="42"/>
      <c r="D14" s="43"/>
      <c r="E14" s="20">
        <f>E13*(1+Prisudvikling2019)^2</f>
        <v>6026080.1198232789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113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0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79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2018-10-12T13:37:57Z</dcterms:modified>
</cp:coreProperties>
</file>