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8" i="23" l="1"/>
  <c r="C17" i="23"/>
  <c r="E17" i="23" s="1"/>
  <c r="E18" i="22"/>
  <c r="C17" i="22"/>
  <c r="E17" i="22" s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2" i="11"/>
  <c r="D10" i="20" s="1"/>
  <c r="G12" i="11"/>
  <c r="D23" i="7" l="1"/>
  <c r="F23" i="7" s="1"/>
  <c r="C11" i="2" s="1"/>
  <c r="D22" i="7"/>
  <c r="F22" i="7" s="1"/>
  <c r="C10" i="2" s="1"/>
  <c r="G11" i="27" l="1"/>
  <c r="D13" i="20" l="1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4" i="20" l="1"/>
  <c r="C12" i="2" s="1"/>
  <c r="C18" i="2" s="1"/>
  <c r="C12" i="15" l="1"/>
  <c r="C11" i="22" s="1"/>
  <c r="C11" i="23" s="1"/>
  <c r="E11" i="11"/>
  <c r="E10" i="11" l="1"/>
  <c r="E12" i="11" s="1"/>
  <c r="F10" i="20" s="1"/>
  <c r="F13" i="20" s="1"/>
  <c r="F14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s="1"/>
  <c r="C8" i="22" l="1"/>
  <c r="C9" i="22" s="1"/>
  <c r="C10" i="22" l="1"/>
  <c r="C13" i="22" s="1"/>
  <c r="E13" i="22" s="1"/>
  <c r="C8" i="23" l="1"/>
  <c r="C9" i="23" s="1"/>
  <c r="C10" i="23" l="1"/>
  <c r="C13" i="23" s="1"/>
  <c r="E13" i="23" s="1"/>
</calcChain>
</file>

<file path=xl/sharedStrings.xml><?xml version="1.0" encoding="utf-8"?>
<sst xmlns="http://schemas.openxmlformats.org/spreadsheetml/2006/main" count="318" uniqueCount="157">
  <si>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</si>
  <si>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</si>
  <si>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</si>
  <si>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</si>
  <si>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</si>
  <si>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</si>
  <si>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</si>
  <si>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</si>
  <si>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</si>
  <si>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</si>
  <si>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</si>
  <si>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</si>
  <si>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</si>
  <si>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</si>
  <si>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</si>
  <si>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</si>
  <si>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</si>
  <si>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</si>
  <si>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</si>
  <si>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</si>
  <si>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</si>
  <si>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</si>
  <si>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</si>
  <si>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</si>
  <si>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</si>
  <si>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</si>
  <si>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</si>
  <si>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</si>
  <si>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</si>
  <si>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</si>
  <si>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</si>
  <si>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</si>
  <si>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</si>
  <si>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</si>
  <si>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</si>
  <si>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</si>
  <si>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</si>
  <si>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</si>
  <si>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</si>
  <si>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</si>
  <si>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</si>
  <si>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</si>
  <si>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</si>
  <si>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</si>
  <si>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</si>
  <si>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</si>
  <si>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</si>
  <si>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</si>
  <si>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</si>
  <si>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</si>
  <si>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</si>
  <si>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</si>
  <si>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</si>
  <si>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</si>
  <si>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</si>
  <si>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</si>
  <si>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</si>
  <si>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</si>
  <si>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</si>
  <si>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</si>
  <si>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</si>
  <si>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</si>
  <si>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</si>
  <si>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</si>
  <si>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</si>
  <si>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</si>
  <si>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</si>
  <si>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</si>
  <si>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</si>
  <si>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</si>
  <si>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</si>
  <si>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</si>
  <si>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</si>
  <si>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</si>
  <si>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</si>
  <si>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</si>
  <si>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</si>
  <si>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</si>
  <si>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</si>
  <si>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</si>
  <si>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</si>
  <si>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</si>
  <si>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</si>
  <si>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</si>
  <si>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</si>
  <si>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</si>
  <si>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</si>
  <si>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</si>
  <si>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</si>
  <si>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</si>
  <si>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</si>
  <si>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</si>
  <si>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</si>
  <si>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</si>
  <si>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</si>
  <si>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</si>
  <si>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</si>
  <si>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</si>
  <si>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</si>
  <si>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</si>
  <si>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</si>
  <si>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</si>
  <si>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</si>
  <si>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</si>
  <si>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</si>
  <si>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</si>
  <si>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</si>
  <si>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</si>
  <si>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Fordeling per år i reguleringsperiode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</si>
  <si>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</si>
  <si>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</si>
  <si>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</si>
  <si>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</si>
  <si>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</si>
  <si>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</si>
  <si>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</si>
  <si>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</si>
  <si>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</si>
  <si>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</si>
  <si>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</si>
  <si>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</si>
  <si>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</si>
  <si>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</si>
  <si>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</si>
  <si>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</si>
  <si>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</si>
  <si>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</si>
  <si>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</si>
  <si>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</si>
  <si>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</si>
  <si>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</si>
  <si>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</si>
  <si>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</si>
  <si>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</si>
  <si>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</si>
  <si>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</si>
  <si>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</si>
  <si>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</si>
  <si>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</si>
  <si>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</si>
  <si>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</si>
  <si>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</si>
  <si>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</si>
  <si>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</si>
  <si>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</si>
  <si>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</si>
  <si>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</si>
  <si>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</si>
  <si>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Køb af ydelser og produkter fra andre vandselskaber reguleret af vandsektorloven</t>
  </si>
  <si>
    <t>Ingen bortfald eller nedsættelse</t>
  </si>
  <si>
    <t>Fane 12: Bortfald eller nedsættelse af omkostninger til mål, medfinansiering eller udvidelse</t>
  </si>
  <si>
    <t>Fane 13: Nøgletal</t>
  </si>
  <si>
    <t>Ø110 mm &lt; Ledningsnet ≤ Ø 250 mm</t>
  </si>
  <si>
    <t>Etageareal vandbehandlingsbygning</t>
  </si>
  <si>
    <t>Til indregning i de økonomiske rammer for 2019-2022</t>
  </si>
  <si>
    <t>Tillæg/fradrag i den økonomiske ramme for 2019-2022 i alt (2017-prisniveau)</t>
  </si>
  <si>
    <t>Tillæg/fradrag i den økonomiske ramme for 2019-2022 i alt (2019-prisniveau)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</si>
</sst>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7" t="s">
        <v>133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34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33</v>
      </c>
      <c r="D14" s="79" t="s">
        <v>116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115</v>
      </c>
      <c r="D15" s="79" t="s">
        <v>118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117</v>
      </c>
      <c r="D16" s="79" t="s">
        <v>134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7</v>
      </c>
      <c r="D17" s="70" t="s">
        <v>119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8</v>
      </c>
      <c r="D18" s="70" t="s">
        <v>127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9</v>
      </c>
      <c r="D19" s="70" t="s">
        <v>120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10</v>
      </c>
      <c r="D20" s="73" t="s">
        <v>128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11</v>
      </c>
      <c r="D21" s="73" t="s">
        <v>121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83" t="s">
        <v>123</v>
      </c>
      <c r="E22" s="84"/>
      <c r="F22" s="84"/>
      <c r="G22" s="85"/>
      <c r="H22" s="1"/>
      <c r="I22" s="1"/>
    </row>
    <row r="23" spans="1:9" x14ac:dyDescent="0.25">
      <c r="A23" s="1"/>
      <c r="B23" s="1"/>
      <c r="C23" s="6" t="s">
        <v>13</v>
      </c>
      <c r="D23" s="76" t="s">
        <v>122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27</v>
      </c>
      <c r="D24" s="76" t="s">
        <v>124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31</v>
      </c>
      <c r="D25" s="76" t="s">
        <v>30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32</v>
      </c>
      <c r="D26" s="67" t="s">
        <v>125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126</v>
      </c>
      <c r="D27" s="67" t="s">
        <v>57</v>
      </c>
      <c r="E27" s="68"/>
      <c r="F27" s="68"/>
      <c r="G27" s="6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84</v>
      </c>
      <c r="C9" s="93"/>
      <c r="D9" s="93"/>
      <c r="E9" s="93"/>
      <c r="F9" s="94"/>
      <c r="G9" s="55">
        <v>170422.29119915998</v>
      </c>
      <c r="H9" s="22" t="s">
        <v>3</v>
      </c>
      <c r="I9" s="1"/>
    </row>
    <row r="10" spans="1:9" x14ac:dyDescent="0.25">
      <c r="A10" s="1"/>
      <c r="B10" s="92" t="s">
        <v>85</v>
      </c>
      <c r="C10" s="93"/>
      <c r="D10" s="93"/>
      <c r="E10" s="93"/>
      <c r="F10" s="94"/>
      <c r="G10" s="55">
        <f>G9/G17</f>
        <v>8521114.5599579997</v>
      </c>
      <c r="H10" s="22" t="s">
        <v>3</v>
      </c>
      <c r="I10" s="1"/>
    </row>
    <row r="11" spans="1:9" x14ac:dyDescent="0.25">
      <c r="A11" s="1"/>
      <c r="B11" s="92" t="s">
        <v>86</v>
      </c>
      <c r="C11" s="93"/>
      <c r="D11" s="93"/>
      <c r="E11" s="93"/>
      <c r="F11" s="94"/>
      <c r="G11" s="55">
        <v>62820.299768411372</v>
      </c>
      <c r="H11" s="22" t="s">
        <v>3</v>
      </c>
      <c r="I11" s="1"/>
    </row>
    <row r="12" spans="1:9" x14ac:dyDescent="0.25">
      <c r="A12" s="1"/>
      <c r="B12" s="92" t="s">
        <v>87</v>
      </c>
      <c r="C12" s="93"/>
      <c r="D12" s="93"/>
      <c r="E12" s="93"/>
      <c r="F12" s="94"/>
      <c r="G12" s="55">
        <f>G11/G19</f>
        <v>6903329.6448803702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89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88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90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145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-9000998</v>
      </c>
      <c r="H9" s="22" t="s">
        <v>3</v>
      </c>
      <c r="I9" s="1"/>
    </row>
    <row r="10" spans="1:9" x14ac:dyDescent="0.25">
      <c r="A10" s="1"/>
      <c r="B10" s="92" t="s">
        <v>52</v>
      </c>
      <c r="C10" s="93"/>
      <c r="D10" s="93"/>
      <c r="E10" s="93"/>
      <c r="F10" s="94"/>
      <c r="G10" s="11">
        <v>-6819308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-2181690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2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-1090845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97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92</v>
      </c>
      <c r="C9" s="93"/>
      <c r="D9" s="94"/>
      <c r="E9" s="11">
        <v>36993967.319766663</v>
      </c>
      <c r="F9" s="22" t="s">
        <v>3</v>
      </c>
      <c r="G9" s="19"/>
      <c r="H9" s="27"/>
      <c r="I9" s="1"/>
    </row>
    <row r="10" spans="1:9" x14ac:dyDescent="0.25">
      <c r="A10" s="1"/>
      <c r="B10" s="92" t="s">
        <v>93</v>
      </c>
      <c r="C10" s="93"/>
      <c r="D10" s="94"/>
      <c r="E10" s="11">
        <v>37946942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98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105</v>
      </c>
      <c r="C12" s="105"/>
      <c r="D12" s="106"/>
      <c r="E12" s="17">
        <f>E9-(E10-E11)</f>
        <v>-952974.68023333699</v>
      </c>
      <c r="F12" s="25" t="s">
        <v>3</v>
      </c>
      <c r="G12" s="17">
        <f>E12</f>
        <v>-952974.68023333699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102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100</v>
      </c>
      <c r="C17" s="93"/>
      <c r="D17" s="94"/>
      <c r="E17" s="11">
        <v>1183902.7333333334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101</v>
      </c>
      <c r="C18" s="93"/>
      <c r="D18" s="94"/>
      <c r="E18" s="11">
        <v>-106533.52040719986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103</v>
      </c>
      <c r="C19" s="105"/>
      <c r="D19" s="106"/>
      <c r="E19" s="17">
        <f>SUM(E17:E18)</f>
        <v>1077369.2129261335</v>
      </c>
      <c r="F19" s="25" t="s">
        <v>3</v>
      </c>
      <c r="G19" s="17">
        <f>E19</f>
        <v>1077369.2129261335</v>
      </c>
      <c r="H19" s="25" t="s">
        <v>3</v>
      </c>
      <c r="I19" s="1"/>
    </row>
    <row r="20" spans="1:9" x14ac:dyDescent="0.25">
      <c r="A20" s="1"/>
      <c r="B20" s="104" t="s">
        <v>104</v>
      </c>
      <c r="C20" s="105"/>
      <c r="D20" s="106"/>
      <c r="E20" s="17">
        <f>SUM(E17:E18)*(1+Prisudvikling2018)</f>
        <v>1096223.174152341</v>
      </c>
      <c r="F20" s="25" t="s">
        <v>3</v>
      </c>
      <c r="G20" s="17">
        <f>E20</f>
        <v>1096223.174152341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154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107</v>
      </c>
      <c r="C25" s="111"/>
      <c r="D25" s="112"/>
      <c r="E25" s="11">
        <f>IF(E12&lt;0,E20+E12,IF(E20+E12&lt;0,E20+E12,IF(E20&lt;0,0,E20)))</f>
        <v>143248.49391900399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99</v>
      </c>
      <c r="C26" s="111"/>
      <c r="D26" s="112"/>
      <c r="E26" s="11">
        <v>4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108</v>
      </c>
      <c r="C27" s="111"/>
      <c r="D27" s="112"/>
      <c r="E27" s="11">
        <f>E25/E26</f>
        <v>35812.123479750997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106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155</v>
      </c>
      <c r="C29" s="96"/>
      <c r="D29" s="96"/>
      <c r="E29" s="96"/>
      <c r="F29" s="97"/>
      <c r="G29" s="20">
        <f>E27</f>
        <v>35812.123479750997</v>
      </c>
      <c r="H29" s="21" t="s">
        <v>3</v>
      </c>
      <c r="I29" s="1"/>
    </row>
    <row r="30" spans="1:9" x14ac:dyDescent="0.25">
      <c r="A30" s="1"/>
      <c r="B30" s="95" t="s">
        <v>156</v>
      </c>
      <c r="C30" s="96"/>
      <c r="D30" s="96"/>
      <c r="E30" s="96"/>
      <c r="F30" s="97"/>
      <c r="G30" s="20">
        <f>G29*(1+Prisudvikling2019)^2</f>
        <v>37032.801553953621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139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91</v>
      </c>
      <c r="H9" s="36"/>
      <c r="I9" s="1"/>
    </row>
    <row r="10" spans="1:9" ht="26.25" x14ac:dyDescent="0.25">
      <c r="A10" s="1"/>
      <c r="B10" s="60" t="s">
        <v>152</v>
      </c>
      <c r="C10" s="61">
        <v>75</v>
      </c>
      <c r="D10" s="11">
        <v>1532748</v>
      </c>
      <c r="E10" s="11">
        <f>D10/C10</f>
        <v>20436.64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153</v>
      </c>
      <c r="C11" s="61">
        <v>75</v>
      </c>
      <c r="D11" s="11">
        <v>79594</v>
      </c>
      <c r="E11" s="11">
        <f t="shared" ref="E11" si="0">D11/C11</f>
        <v>1061.2533333333333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95" t="s">
        <v>140</v>
      </c>
      <c r="C12" s="96"/>
      <c r="D12" s="97"/>
      <c r="E12" s="20">
        <f>SUM(E10:E11)</f>
        <v>21497.893333333333</v>
      </c>
      <c r="F12" s="20">
        <f>SUM(F10:F11)</f>
        <v>0</v>
      </c>
      <c r="G12" s="20">
        <f>SUM(G10:G11)</f>
        <v>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94</v>
      </c>
      <c r="G9" s="36"/>
      <c r="H9" s="1"/>
    </row>
    <row r="10" spans="1:8" x14ac:dyDescent="0.25">
      <c r="A10" s="1"/>
      <c r="B10" s="56" t="s">
        <v>139</v>
      </c>
      <c r="C10" s="57"/>
      <c r="D10" s="53">
        <f>'Fane 10. Anlægsprojekter'!F12</f>
        <v>0</v>
      </c>
      <c r="E10" s="22" t="s">
        <v>3</v>
      </c>
      <c r="F10" s="11">
        <f>SUM('Fane 10. Anlægsprojekter'!E12,'Fane 10. Anlægsprojekter'!G12)</f>
        <v>21497.893333333333</v>
      </c>
      <c r="G10" s="22" t="s">
        <v>3</v>
      </c>
      <c r="H10" s="1"/>
    </row>
    <row r="11" spans="1:8" x14ac:dyDescent="0.25">
      <c r="A11" s="1"/>
      <c r="B11" s="63"/>
      <c r="C11" s="64"/>
      <c r="D11" s="53"/>
      <c r="E11" s="22" t="s">
        <v>3</v>
      </c>
      <c r="F11" s="11"/>
      <c r="G11" s="22" t="s">
        <v>3</v>
      </c>
      <c r="H11" s="1"/>
    </row>
    <row r="12" spans="1:8" x14ac:dyDescent="0.25">
      <c r="A12" s="1"/>
      <c r="B12" s="56"/>
      <c r="C12" s="57"/>
      <c r="D12" s="53"/>
      <c r="E12" s="22" t="s">
        <v>3</v>
      </c>
      <c r="F12" s="11"/>
      <c r="G12" s="22" t="s">
        <v>3</v>
      </c>
      <c r="H12" s="1"/>
    </row>
    <row r="13" spans="1:8" x14ac:dyDescent="0.25">
      <c r="A13" s="1"/>
      <c r="B13" s="41" t="s">
        <v>141</v>
      </c>
      <c r="C13" s="43"/>
      <c r="D13" s="20">
        <f>SUM(D10:D12)</f>
        <v>0</v>
      </c>
      <c r="E13" s="21" t="s">
        <v>3</v>
      </c>
      <c r="F13" s="20">
        <f>SUM(F10:F12)</f>
        <v>21497.893333333333</v>
      </c>
      <c r="G13" s="21" t="s">
        <v>3</v>
      </c>
      <c r="H13" s="1"/>
    </row>
    <row r="14" spans="1:8" x14ac:dyDescent="0.25">
      <c r="A14" s="1"/>
      <c r="B14" s="41" t="s">
        <v>142</v>
      </c>
      <c r="C14" s="43"/>
      <c r="D14" s="20">
        <f>D13*(1+Prisudvikling2019)</f>
        <v>0</v>
      </c>
      <c r="E14" s="21" t="s">
        <v>3</v>
      </c>
      <c r="F14" s="20">
        <f>F13*(1+Prisudvikling2019)</f>
        <v>21861.207730666665</v>
      </c>
      <c r="G14" s="21" t="s">
        <v>3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150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94</v>
      </c>
      <c r="G9" s="36"/>
      <c r="H9" s="1"/>
    </row>
    <row r="10" spans="1:8" x14ac:dyDescent="0.25">
      <c r="A10" s="1"/>
      <c r="B10" s="56" t="s">
        <v>149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143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144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151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49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50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51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55</v>
      </c>
      <c r="C9" s="7">
        <f>'Fane 3. Omkostninger i ØR2018'!G11</f>
        <v>15191943.868933301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72</v>
      </c>
      <c r="C10" s="7">
        <f>'Fane 4. Korrigeret grundlag'!F22</f>
        <v>-630929.25602172397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71</v>
      </c>
      <c r="C11" s="7">
        <f>'Fane 4. Korrigeret grundlag'!F23</f>
        <v>58205.945880672436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76</v>
      </c>
      <c r="C12" s="7">
        <f>'Fane 11. Tillæg'!D14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75</v>
      </c>
      <c r="C13" s="11">
        <f>'Fane 11. Tillæg'!F14</f>
        <v>21861.207730666665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78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77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247434.28185423726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69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-157004.54015304745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70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-61226.547901499966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14670284.960322605</v>
      </c>
      <c r="D20" s="18" t="s">
        <v>3</v>
      </c>
      <c r="E20" s="17">
        <f>C20</f>
        <v>14670284.960322605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24545101.538726833</v>
      </c>
      <c r="D22" s="18" t="s">
        <v>3</v>
      </c>
      <c r="E22" s="17">
        <f>C22</f>
        <v>24545101.538726833</v>
      </c>
      <c r="F22" s="18" t="s">
        <v>3</v>
      </c>
      <c r="G22" s="1"/>
    </row>
    <row r="23" spans="1:7" ht="15" customHeight="1" x14ac:dyDescent="0.25">
      <c r="A23" s="1"/>
      <c r="B23" s="41" t="s">
        <v>83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56</v>
      </c>
      <c r="C24" s="17">
        <v>110122.41619742967</v>
      </c>
      <c r="D24" s="18" t="s">
        <v>3</v>
      </c>
      <c r="E24" s="17">
        <f>C24</f>
        <v>110122.41619742967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-1090845</v>
      </c>
      <c r="D26" s="18" t="s">
        <v>3</v>
      </c>
      <c r="E26" s="17">
        <f>C26</f>
        <v>-1090845</v>
      </c>
      <c r="F26" s="18" t="s">
        <v>3</v>
      </c>
      <c r="G26" s="1"/>
    </row>
    <row r="27" spans="1:7" x14ac:dyDescent="0.25">
      <c r="A27" s="1"/>
      <c r="B27" s="41" t="s">
        <v>107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109</v>
      </c>
      <c r="C28" s="17">
        <f>'Fane 9. Kontrol af ØR2017'!G30</f>
        <v>37032.801553953621</v>
      </c>
      <c r="D28" s="18" t="s">
        <v>3</v>
      </c>
      <c r="E28" s="17">
        <f>C28</f>
        <v>37032.801553953621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38271696.716800824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58</v>
      </c>
      <c r="C9" s="7">
        <f>'Fane 2.1. Økonomisk ramme 2019'!E20</f>
        <v>14670284.960322605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247927.81582945201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69</v>
      </c>
      <c r="C12" s="11">
        <f>('Fane 2.1. Økonomisk ramme 2019'!C18/GenereltKravDrift-'Fane 2.1. Økonomisk ramme 2019'!C18)*(1+Prisudvikling2019)*GenereltKravDrift</f>
        <v>-156464.75854400126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70</v>
      </c>
      <c r="C13" s="11">
        <f>('Fane 2.1. Økonomisk ramme 2019'!C19/GenereltKravAnlæg-'Fane 2.1. Økonomisk ramme 2019'!C19)*(1+Prisudvikling2019)*GenereltKravAnlæg</f>
        <v>-61719.603454954304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14700028.414153101</v>
      </c>
      <c r="D14" s="18" t="s">
        <v>3</v>
      </c>
      <c r="E14" s="17">
        <f>C14</f>
        <v>14700028.414153101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24959913.754731312</v>
      </c>
      <c r="D16" s="18" t="s">
        <v>3</v>
      </c>
      <c r="E16" s="17">
        <f>C16</f>
        <v>24959913.754731312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-1090845</v>
      </c>
      <c r="D18" s="18" t="s">
        <v>3</v>
      </c>
      <c r="E18" s="17">
        <f>C18</f>
        <v>-1090845</v>
      </c>
      <c r="F18" s="18" t="s">
        <v>3</v>
      </c>
      <c r="G18" s="1"/>
    </row>
    <row r="19" spans="1:7" x14ac:dyDescent="0.25">
      <c r="A19" s="1"/>
      <c r="B19" s="41" t="s">
        <v>107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109</v>
      </c>
      <c r="C20" s="17">
        <f>'Fane 2.1. Økonomisk ramme 2019'!C28*(1+Prisudvikling2019)</f>
        <v>37658.655900215432</v>
      </c>
      <c r="D20" s="18" t="s">
        <v>3</v>
      </c>
      <c r="E20" s="17">
        <f>C20</f>
        <v>37658.655900215432</v>
      </c>
      <c r="F20" s="18" t="s">
        <v>3</v>
      </c>
      <c r="G20" s="1"/>
    </row>
    <row r="21" spans="1:7" x14ac:dyDescent="0.25">
      <c r="A21" s="1"/>
      <c r="B21" s="41" t="s">
        <v>59</v>
      </c>
      <c r="C21" s="42"/>
      <c r="D21" s="43"/>
      <c r="E21" s="20">
        <f>SUM(E14,E16,E18,E20:E20)</f>
        <v>38606755.824784629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110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60</v>
      </c>
      <c r="C8" s="7">
        <f>'Fane 2.2. Økonomisk ramme 2020'!E14</f>
        <v>14700028.414153101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248430.48019918738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2.2. Økonomisk ramme 2020'!C12/GenereltKravDrift-'Fane 2.2. Økonomisk ramme 2020'!C12)*(1+Prisudvikling2019)*GenereltKravDrift</f>
        <v>-155926.83270412698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2.2. Økonomisk ramme 2020'!C13/GenereltKravAnlæg-'Fane 2.2. Økonomisk ramme 2020'!C13)*(1+Prisudvikling2019)*GenereltKravAnlæg</f>
        <v>-62216.629569988945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14730315.432078173</v>
      </c>
      <c r="D13" s="18" t="s">
        <v>3</v>
      </c>
      <c r="E13" s="17">
        <f>C13</f>
        <v>14730315.432078173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25381736.29718627</v>
      </c>
      <c r="D15" s="18" t="s">
        <v>3</v>
      </c>
      <c r="E15" s="17">
        <f>C15</f>
        <v>25381736.29718627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2.2. Økonomisk ramme 2020'!E20*(1+Prisudvikling2019)</f>
        <v>38295.087184929071</v>
      </c>
      <c r="D17" s="18" t="s">
        <v>3</v>
      </c>
      <c r="E17" s="17">
        <f>C17</f>
        <v>38295.087184929071</v>
      </c>
      <c r="F17" s="18" t="s">
        <v>3</v>
      </c>
      <c r="G17" s="1"/>
    </row>
    <row r="18" spans="1:7" x14ac:dyDescent="0.25">
      <c r="A18" s="1"/>
      <c r="B18" s="41" t="s">
        <v>81</v>
      </c>
      <c r="C18" s="42"/>
      <c r="D18" s="43"/>
      <c r="E18" s="20">
        <f>SUM(E13,E15,E17)</f>
        <v>40150346.816449374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111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66</v>
      </c>
      <c r="C8" s="7">
        <f>'Fane 2.3. Økonomisk ramme 2021'!E13</f>
        <v>14730315.432078173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248942.33080212111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2.3. Økonomisk ramme 2021'!C11/GenereltKravDrift-'Fane 2.3. Økonomisk ramme 2021'!C11)*(1+Prisudvikling2019)*GenereltKravDrift</f>
        <v>-155390.75625329019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2.3. Økonomisk ramme 2021'!C12/GenereltKravAnlæg-'Fane 2.3. Økonomisk ramme 2021'!C12)*(1+Prisudvikling2019)*GenereltKravAnlæg</f>
        <v>-62717.658221417172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14761149.348405585</v>
      </c>
      <c r="D13" s="18" t="s">
        <v>3</v>
      </c>
      <c r="E13" s="17">
        <f>C13</f>
        <v>14761149.348405585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25810687.640608713</v>
      </c>
      <c r="D15" s="18" t="s">
        <v>3</v>
      </c>
      <c r="E15" s="17">
        <f>C15</f>
        <v>25810687.640608713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2.3. Økonomisk ramme 2021'!E17*(1+Prisudvikling2019)</f>
        <v>38942.274158354368</v>
      </c>
      <c r="D17" s="18" t="s">
        <v>3</v>
      </c>
      <c r="E17" s="17">
        <f>C17</f>
        <v>38942.274158354368</v>
      </c>
      <c r="F17" s="18" t="s">
        <v>3</v>
      </c>
      <c r="G17" s="1"/>
    </row>
    <row r="18" spans="1:7" x14ac:dyDescent="0.25">
      <c r="A18" s="1"/>
      <c r="B18" s="41" t="s">
        <v>82</v>
      </c>
      <c r="C18" s="42"/>
      <c r="D18" s="43"/>
      <c r="E18" s="20">
        <f>SUM(E13,E15,E17)</f>
        <v>40610779.263172649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112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55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40453512.935933299</v>
      </c>
      <c r="H9" s="22" t="s">
        <v>3</v>
      </c>
      <c r="I9" s="1"/>
    </row>
    <row r="10" spans="1:9" x14ac:dyDescent="0.25">
      <c r="A10" s="1"/>
      <c r="B10" s="50" t="s">
        <v>54</v>
      </c>
      <c r="C10" s="48"/>
      <c r="D10" s="48"/>
      <c r="E10" s="48"/>
      <c r="F10" s="49"/>
      <c r="G10" s="11">
        <v>25261569.066999998</v>
      </c>
      <c r="H10" s="22" t="s">
        <v>3</v>
      </c>
      <c r="I10" s="1"/>
    </row>
    <row r="11" spans="1:9" ht="15" customHeight="1" x14ac:dyDescent="0.25">
      <c r="A11" s="1"/>
      <c r="B11" s="41" t="s">
        <v>55</v>
      </c>
      <c r="C11" s="51"/>
      <c r="D11" s="51"/>
      <c r="E11" s="51"/>
      <c r="F11" s="52"/>
      <c r="G11" s="33">
        <f>G9-G10</f>
        <v>15191943.868933301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129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61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62</v>
      </c>
      <c r="C9" s="93"/>
      <c r="D9" s="93"/>
      <c r="E9" s="94"/>
      <c r="F9" s="11">
        <v>8585973</v>
      </c>
      <c r="G9" s="22" t="s">
        <v>3</v>
      </c>
      <c r="H9" s="1"/>
      <c r="I9" s="1"/>
    </row>
    <row r="10" spans="1:9" x14ac:dyDescent="0.25">
      <c r="A10" s="1"/>
      <c r="B10" s="92" t="s">
        <v>63</v>
      </c>
      <c r="C10" s="93"/>
      <c r="D10" s="93"/>
      <c r="E10" s="94"/>
      <c r="F10" s="11">
        <v>6879359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68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7965529.2434637388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6936597.6133156382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73</v>
      </c>
      <c r="E21" s="36"/>
      <c r="F21" s="46" t="s">
        <v>74</v>
      </c>
      <c r="G21" s="36"/>
      <c r="H21" s="1"/>
      <c r="I21" s="1"/>
    </row>
    <row r="22" spans="1:9" x14ac:dyDescent="0.25">
      <c r="A22" s="1"/>
      <c r="B22" s="98" t="s">
        <v>64</v>
      </c>
      <c r="C22" s="99"/>
      <c r="D22" s="53">
        <f>F15-F9</f>
        <v>-620443.75653626118</v>
      </c>
      <c r="E22" s="22" t="s">
        <v>3</v>
      </c>
      <c r="F22" s="11">
        <f>D22*(1+Prisudvikling2019)</f>
        <v>-630929.25602172397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65</v>
      </c>
      <c r="C23" s="99"/>
      <c r="D23" s="53">
        <f>F16-F10</f>
        <v>57238.613315638155</v>
      </c>
      <c r="E23" s="22" t="s">
        <v>3</v>
      </c>
      <c r="F23" s="11">
        <f>D23*(1+Prisudvikling2019)</f>
        <v>58205.945880672436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96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135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130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67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4" t="s">
        <v>146</v>
      </c>
      <c r="C10" s="48"/>
      <c r="D10" s="49"/>
      <c r="E10" s="11">
        <v>14537314</v>
      </c>
      <c r="F10" s="22" t="s">
        <v>3</v>
      </c>
      <c r="G10" s="1"/>
      <c r="H10" s="1"/>
    </row>
    <row r="11" spans="1:8" x14ac:dyDescent="0.25">
      <c r="A11" s="1"/>
      <c r="B11" s="44" t="s">
        <v>147</v>
      </c>
      <c r="C11" s="48"/>
      <c r="D11" s="49"/>
      <c r="E11" s="11">
        <v>57673</v>
      </c>
      <c r="F11" s="22" t="s">
        <v>3</v>
      </c>
      <c r="G11" s="1"/>
      <c r="H11" s="1"/>
    </row>
    <row r="12" spans="1:8" ht="26.25" x14ac:dyDescent="0.25">
      <c r="A12" s="1"/>
      <c r="B12" s="44" t="s">
        <v>148</v>
      </c>
      <c r="C12" s="48"/>
      <c r="D12" s="49"/>
      <c r="E12" s="11">
        <v>9141057</v>
      </c>
      <c r="F12" s="22" t="s">
        <v>3</v>
      </c>
      <c r="G12" s="1"/>
      <c r="H12" s="1"/>
    </row>
    <row r="13" spans="1:8" x14ac:dyDescent="0.25">
      <c r="A13" s="1"/>
      <c r="B13" s="41" t="s">
        <v>136</v>
      </c>
      <c r="C13" s="42"/>
      <c r="D13" s="43"/>
      <c r="E13" s="20">
        <f>SUM(E10:E12)</f>
        <v>23736044</v>
      </c>
      <c r="F13" s="21" t="s">
        <v>3</v>
      </c>
      <c r="G13" s="1"/>
      <c r="H13" s="1"/>
    </row>
    <row r="14" spans="1:8" x14ac:dyDescent="0.25">
      <c r="A14" s="1"/>
      <c r="B14" s="41" t="s">
        <v>137</v>
      </c>
      <c r="C14" s="42"/>
      <c r="D14" s="43"/>
      <c r="E14" s="20">
        <f>E13*(1+Prisudvikling2019)^2</f>
        <v>24545101.538726833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79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2018-10-12T13:34:25Z</dcterms:modified>
</cp:coreProperties>
</file>