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externalReferences>
    <externalReference r:id="rId17"/>
  </externalReferences>
  <definedNames>
    <definedName name="GenereltKravAnlæg">'Fane 7. Generelt eff. krav'!$G$20</definedName>
    <definedName name="GenereltKravDrift">'Fane 7. Generelt eff. krav'!$G$18</definedName>
    <definedName name="IndividueltKrav">'[1]Fane 11. Nøgletal'!$F$14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F15" i="20" l="1"/>
  <c r="C23" i="2"/>
  <c r="C24" i="2" s="1"/>
  <c r="E24" i="2" s="1"/>
  <c r="E11" i="11" l="1"/>
  <c r="E12" i="11"/>
  <c r="E13" i="11"/>
  <c r="E14" i="11"/>
  <c r="E15" i="11"/>
  <c r="E16" i="11"/>
  <c r="E17" i="11"/>
  <c r="E18" i="11"/>
  <c r="E19" i="11"/>
  <c r="E28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32" i="2" s="1"/>
  <c r="G12" i="32"/>
  <c r="C20" i="15" l="1"/>
  <c r="E20" i="15" s="1"/>
  <c r="E32" i="2"/>
  <c r="C18" i="15"/>
  <c r="G12" i="30" l="1"/>
  <c r="G10" i="30"/>
  <c r="F22" i="11"/>
  <c r="D10" i="20" s="1"/>
  <c r="D15" i="20" s="1"/>
  <c r="G22" i="11"/>
  <c r="D23" i="7" l="1"/>
  <c r="F23" i="7" s="1"/>
  <c r="C11" i="2" s="1"/>
  <c r="D22" i="7"/>
  <c r="F22" i="7" s="1"/>
  <c r="C10" i="2" s="1"/>
  <c r="G11" i="27" l="1"/>
  <c r="E18" i="15" l="1"/>
  <c r="F11" i="21"/>
  <c r="F12" i="21" s="1"/>
  <c r="C15" i="2" s="1"/>
  <c r="D11" i="21"/>
  <c r="D12" i="21" s="1"/>
  <c r="C14" i="2" s="1"/>
  <c r="C9" i="2"/>
  <c r="E16" i="19"/>
  <c r="E17" i="19" s="1"/>
  <c r="C26" i="2" l="1"/>
  <c r="E26" i="2" s="1"/>
  <c r="C15" i="22"/>
  <c r="E15" i="22" s="1"/>
  <c r="C15" i="23"/>
  <c r="E15" i="23" s="1"/>
  <c r="C16" i="15"/>
  <c r="E16" i="15" s="1"/>
  <c r="G13" i="10"/>
  <c r="G11" i="10" l="1"/>
  <c r="E21" i="11" l="1"/>
  <c r="D16" i="20" l="1"/>
  <c r="C12" i="2" s="1"/>
  <c r="C18" i="2" s="1"/>
  <c r="C12" i="15" l="1"/>
  <c r="C11" i="22" s="1"/>
  <c r="C11" i="23" s="1"/>
  <c r="E20" i="11"/>
  <c r="E10" i="11" l="1"/>
  <c r="E22" i="11" s="1"/>
  <c r="F10" i="20" s="1"/>
  <c r="C30" i="2"/>
  <c r="E30" i="2" s="1"/>
  <c r="F16" i="20" l="1"/>
  <c r="C13" i="2" s="1"/>
  <c r="C19" i="2" s="1"/>
  <c r="C13" i="15" s="1"/>
  <c r="C12" i="22" s="1"/>
  <c r="C12" i="23" s="1"/>
  <c r="C16" i="2" l="1"/>
  <c r="C17" i="2" s="1"/>
  <c r="C20" i="2" l="1"/>
  <c r="E20" i="2" s="1"/>
  <c r="E33" i="2" s="1"/>
  <c r="C9" i="15" l="1"/>
  <c r="C10" i="15" s="1"/>
  <c r="C11" i="15" s="1"/>
  <c r="C14" i="15" l="1"/>
  <c r="E14" i="15" s="1"/>
  <c r="E21" i="15" s="1"/>
  <c r="C8" i="22" l="1"/>
  <c r="C9" i="22" s="1"/>
  <c r="C10" i="22" s="1"/>
  <c r="C13" i="22" l="1"/>
  <c r="E13" i="22" s="1"/>
  <c r="E16" i="22" s="1"/>
  <c r="C8" i="23" l="1"/>
  <c r="C9" i="23" s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<sst xmlns="http://schemas.openxmlformats.org/spreadsheetml/2006/main" count="354" uniqueCount="178">
  <si>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</si>
  <si>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</si>
  <si>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</si>
  <si>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</si>
  <si>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</si>
  <si>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</si>
  <si>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</si>
  <si>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</si>
  <si>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</si>
  <si>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</si>
  <si>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</si>
  <si>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</si>
  <si>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</si>
  <si>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</si>
  <si>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</si>
  <si>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</si>
  <si>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</si>
  <si>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</si>
  <si>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</si>
  <si>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</si>
  <si>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</si>
  <si>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</si>
  <si>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</si>
  <si>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</si>
  <si>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</si>
  <si>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</si>
  <si>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</si>
  <si>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</si>
  <si>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</si>
  <si>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</si>
  <si>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</si>
  <si>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</si>
  <si>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</si>
  <si>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</si>
  <si>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</si>
  <si>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</si>
  <si>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</si>
  <si>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</si>
  <si>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</si>
  <si>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</si>
  <si>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</si>
  <si>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</si>
  <si>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</si>
  <si>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</si>
  <si>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</si>
  <si>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</si>
  <si>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</si>
  <si>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</si>
  <si>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</si>
  <si>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</si>
  <si>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</si>
  <si>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</si>
  <si>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</si>
  <si>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</si>
  <si>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</si>
  <si>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</si>
  <si>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</si>
  <si>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</si>
  <si>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</si>
  <si>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</si>
  <si>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</si>
  <si>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</si>
  <si>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</si>
  <si>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</si>
  <si>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</si>
  <si>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</si>
  <si>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</si>
  <si>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</si>
  <si>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</si>
  <si>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</si>
  <si>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</si>
  <si>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</si>
  <si>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</si>
  <si>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</si>
  <si>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</si>
  <si>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</si>
  <si>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</si>
  <si>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</si>
  <si>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</si>
  <si>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</si>
  <si>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</si>
  <si>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</si>
  <si>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</si>
  <si>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</si>
  <si>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</si>
  <si>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</si>
  <si>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</si>
  <si>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</si>
  <si>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</si>
  <si>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</si>
  <si>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</si>
  <si>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</si>
  <si>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</si>
  <si>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</si>
  <si>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</si>
  <si>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</si>
  <si>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</si>
  <si>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</si>
  <si>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</si>
  <si>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</si>
  <si>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</si>
  <si>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</si>
  <si>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</si>
  <si>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</si>
  <si>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</si>
  <si>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</si>
  <si>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</si>
  <si>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</si>
  <si>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</si>
  <si>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</si>
  <si>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</si>
  <si>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</si>
  <si>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</si>
  <si>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</si>
  <si>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</si>
  <si>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</si>
  <si>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</si>
  <si>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</si>
  <si>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</si>
  <si>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</si>
  <si>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</si>
  <si>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</si>
  <si>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</si>
  <si>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</si>
  <si>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</si>
  <si>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</si>
  <si>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</si>
  <si>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</si>
  <si>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</si>
  <si>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</si>
  <si>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</si>
  <si>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</si>
  <si>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</si>
  <si>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</si>
  <si>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</si>
  <si>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</si>
  <si>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</si>
  <si>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</si>
  <si>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</si>
  <si>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</si>
  <si>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</si>
  <si>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</si>
  <si>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</si>
  <si>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</si>
  <si>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</si>
  <si>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</si>
  <si>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</si>
  <si>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</si>
  <si>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</si>
  <si>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</si>
  <si>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Banegårdsplads</t>
  </si>
  <si>
    <t>Ballerup Boulevard</t>
  </si>
  <si>
    <t>Afgift til Forsyningsekretariatet</t>
  </si>
  <si>
    <t>Køb af ydelser og produkter fra andre vandselskaber reguleret af vandsektorloven</t>
  </si>
  <si>
    <t>Skatter og afgifter</t>
  </si>
  <si>
    <t>Undersøgelsesudgifter i forbindelse med fusion</t>
  </si>
  <si>
    <t>Ingen bortfald eller nedsættelse</t>
  </si>
  <si>
    <t>Fane 12: Bortfald eller nedsættelse af omkostninger til mål, medfinansiering eller udvidelse</t>
  </si>
  <si>
    <t>Fane 13: Nøgletal</t>
  </si>
  <si>
    <t xml:space="preserve">kr. </t>
  </si>
  <si>
    <t xml:space="preserve">Jungshøjvej </t>
  </si>
  <si>
    <t>Ø110 mm &lt; Ledningsnet ≤ Ø 250 mm</t>
  </si>
  <si>
    <t>Stik på ledningsnet, Mek./EL</t>
  </si>
  <si>
    <t>Ø 50mm &lt; Ledningsnet ≤ Ø110 mm</t>
  </si>
  <si>
    <t>Ø 250 mm &lt; Ledningsnet ≤ Ø 500mm</t>
  </si>
  <si>
    <t>Ventiler på ledningsnet ≤ Ø50 mm</t>
  </si>
  <si>
    <t>SRO-brønd/kvarterbrønd/sektionsbrønd, Konstruktioner</t>
  </si>
  <si>
    <t>SRO-brønd/kvarterbrønd/sektionsbrønd, Mek./EL</t>
  </si>
  <si>
    <t>SRO-brønd/kvarterbrønd/sektionsbrønd, SRO</t>
  </si>
  <si>
    <t>Afregningsmålere, elektroniske ≤ Ø 110mm (Qn 10)</t>
  </si>
  <si>
    <t>Ventiler på Ø 50mm &lt; Ledningsnet ≤ Ø110 mm</t>
  </si>
  <si>
    <t>Afgift for ledningsført vand</t>
  </si>
  <si>
    <t>Tjenestemandspensioner</t>
  </si>
  <si>
    <t>Engangstillæg</t>
  </si>
  <si>
    <t>Tillæg som bortfalder i den økonomiske ramme for 2020</t>
  </si>
  <si>
    <t>Effektiviseringskrav</t>
  </si>
  <si>
    <t>Engangstillæg i alt</t>
  </si>
  <si>
    <t>Garantiprovision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</si>
</sst>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Spildevand/Energi%20Viborg%20Vand%20AS%20(S014)/&#216;R2019/Bilag%20A%20-%20Energi%20Viborg%20Vand%20AS%20(S014)%20-%20&#216;R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Forside"/>
      <sheetName val="Fane 2.1. Økonomisk ramme 2019"/>
      <sheetName val="Fane 2.2. Økonomisk ramme 2020"/>
      <sheetName val="Fane 2.3. Økonomisk ramme 2021"/>
      <sheetName val="Fane 2.4. Økonomisk ramme 2022"/>
      <sheetName val="Fane 3. Omkostninger i ØR2018"/>
      <sheetName val="Fane 4. Ikke-påvirkelige omk."/>
      <sheetName val="Fane 5. Generelt eff. krav"/>
      <sheetName val="Fane 6. Hist. over el. underdæk"/>
      <sheetName val="Fane 7. Kontrol af ØR2017"/>
      <sheetName val="Fane 8. Anlægsprojekter"/>
      <sheetName val="Fane 9. Tillæg"/>
      <sheetName val="Fane 10. Bortfald"/>
      <sheetName val="Fane 11. Nøgle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4">
          <cell r="F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137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34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33</v>
      </c>
      <c r="D14" s="67" t="s">
        <v>120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119</v>
      </c>
      <c r="D15" s="67" t="s">
        <v>122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121</v>
      </c>
      <c r="D16" s="67" t="s">
        <v>138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9" t="s">
        <v>123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8</v>
      </c>
      <c r="D18" s="79" t="s">
        <v>131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9</v>
      </c>
      <c r="D19" s="79" t="s">
        <v>124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10</v>
      </c>
      <c r="D20" s="82" t="s">
        <v>132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11</v>
      </c>
      <c r="D21" s="82" t="s">
        <v>125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71" t="s">
        <v>127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85" t="s">
        <v>129</v>
      </c>
      <c r="E26" s="86"/>
      <c r="F26" s="86"/>
      <c r="G26" s="87"/>
      <c r="H26" s="1"/>
      <c r="I26" s="1"/>
    </row>
    <row r="27" spans="1:9" x14ac:dyDescent="0.25">
      <c r="A27" s="1"/>
      <c r="B27" s="1"/>
      <c r="C27" s="6" t="s">
        <v>130</v>
      </c>
      <c r="D27" s="85" t="s">
        <v>58</v>
      </c>
      <c r="E27" s="86"/>
      <c r="F27" s="86"/>
      <c r="G27" s="8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355278.79845162301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17763939.922581151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92654.980163640459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10181865.952048402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-7258000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-7258000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0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0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51409709.726655461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52151475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-741765.27334453911</v>
      </c>
      <c r="F12" s="25" t="s">
        <v>3</v>
      </c>
      <c r="G12" s="17">
        <f>E12</f>
        <v>-741765.27334453911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365306.36666666693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1052387.7792134956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1417694.1458801625</v>
      </c>
      <c r="F19" s="25" t="s">
        <v>3</v>
      </c>
      <c r="G19" s="17">
        <f>E19</f>
        <v>1417694.1458801625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1442503.7934330655</v>
      </c>
      <c r="F20" s="25" t="s">
        <v>3</v>
      </c>
      <c r="G20" s="17">
        <f>E20</f>
        <v>1442503.7934330655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700738.52008852642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350369.26004426321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350369.26004426321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362311.80999812047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161</v>
      </c>
      <c r="C10" s="61">
        <v>75</v>
      </c>
      <c r="D10" s="11">
        <v>6471187</v>
      </c>
      <c r="E10" s="11">
        <f>D10/C10</f>
        <v>86282.493333333332</v>
      </c>
      <c r="F10" s="11">
        <v>0</v>
      </c>
      <c r="G10" s="11">
        <v>129907</v>
      </c>
      <c r="H10" s="22" t="s">
        <v>3</v>
      </c>
      <c r="I10" s="1"/>
    </row>
    <row r="11" spans="1:9" ht="26.25" x14ac:dyDescent="0.25">
      <c r="A11" s="1"/>
      <c r="B11" s="60" t="s">
        <v>162</v>
      </c>
      <c r="C11" s="61">
        <v>75</v>
      </c>
      <c r="D11" s="11">
        <v>62071</v>
      </c>
      <c r="E11" s="11">
        <f t="shared" ref="E11:E19" si="0">D11/C11</f>
        <v>827.61333333333334</v>
      </c>
      <c r="F11" s="11">
        <v>0</v>
      </c>
      <c r="G11" s="11">
        <v>1241</v>
      </c>
      <c r="H11" s="22" t="s">
        <v>3</v>
      </c>
      <c r="I11" s="1"/>
    </row>
    <row r="12" spans="1:9" ht="26.25" x14ac:dyDescent="0.25">
      <c r="A12" s="1"/>
      <c r="B12" s="60" t="s">
        <v>161</v>
      </c>
      <c r="C12" s="61">
        <v>75</v>
      </c>
      <c r="D12" s="11">
        <v>34881</v>
      </c>
      <c r="E12" s="11">
        <f t="shared" si="0"/>
        <v>465.08</v>
      </c>
      <c r="F12" s="11">
        <v>0</v>
      </c>
      <c r="G12" s="11">
        <v>698</v>
      </c>
      <c r="H12" s="22" t="s">
        <v>3</v>
      </c>
      <c r="I12" s="1"/>
    </row>
    <row r="13" spans="1:9" ht="26.25" x14ac:dyDescent="0.25">
      <c r="A13" s="1"/>
      <c r="B13" s="60" t="s">
        <v>163</v>
      </c>
      <c r="C13" s="61">
        <v>75</v>
      </c>
      <c r="D13" s="11">
        <v>13826</v>
      </c>
      <c r="E13" s="11">
        <f t="shared" si="0"/>
        <v>184.34666666666666</v>
      </c>
      <c r="F13" s="11">
        <v>0</v>
      </c>
      <c r="G13" s="11">
        <v>277</v>
      </c>
      <c r="H13" s="22" t="s">
        <v>3</v>
      </c>
      <c r="I13" s="1"/>
    </row>
    <row r="14" spans="1:9" ht="26.25" x14ac:dyDescent="0.25">
      <c r="A14" s="1"/>
      <c r="B14" s="60" t="s">
        <v>164</v>
      </c>
      <c r="C14" s="61">
        <v>75</v>
      </c>
      <c r="D14" s="11">
        <v>74004</v>
      </c>
      <c r="E14" s="11">
        <f t="shared" si="0"/>
        <v>986.72</v>
      </c>
      <c r="F14" s="11">
        <v>0</v>
      </c>
      <c r="G14" s="11">
        <v>1480</v>
      </c>
      <c r="H14" s="22" t="s">
        <v>3</v>
      </c>
      <c r="I14" s="1"/>
    </row>
    <row r="15" spans="1:9" ht="26.25" x14ac:dyDescent="0.25">
      <c r="A15" s="1"/>
      <c r="B15" s="60" t="s">
        <v>165</v>
      </c>
      <c r="C15" s="61">
        <v>75</v>
      </c>
      <c r="D15" s="11">
        <v>3140</v>
      </c>
      <c r="E15" s="11">
        <f t="shared" si="0"/>
        <v>41.866666666666667</v>
      </c>
      <c r="F15" s="11">
        <v>0</v>
      </c>
      <c r="G15" s="11">
        <v>63</v>
      </c>
      <c r="H15" s="22" t="s">
        <v>3</v>
      </c>
      <c r="I15" s="1"/>
    </row>
    <row r="16" spans="1:9" ht="39" x14ac:dyDescent="0.25">
      <c r="A16" s="1"/>
      <c r="B16" s="60" t="s">
        <v>166</v>
      </c>
      <c r="C16" s="61">
        <v>50</v>
      </c>
      <c r="D16" s="11">
        <v>1385576</v>
      </c>
      <c r="E16" s="11">
        <f t="shared" si="0"/>
        <v>27711.52</v>
      </c>
      <c r="F16" s="11">
        <v>0</v>
      </c>
      <c r="G16" s="11">
        <v>27712</v>
      </c>
      <c r="H16" s="22" t="s">
        <v>3</v>
      </c>
      <c r="I16" s="1"/>
    </row>
    <row r="17" spans="1:9" ht="39" x14ac:dyDescent="0.25">
      <c r="A17" s="1"/>
      <c r="B17" s="60" t="s">
        <v>167</v>
      </c>
      <c r="C17" s="61">
        <v>15</v>
      </c>
      <c r="D17" s="11">
        <v>475066</v>
      </c>
      <c r="E17" s="11">
        <f t="shared" si="0"/>
        <v>31671.066666666666</v>
      </c>
      <c r="F17" s="11">
        <v>0</v>
      </c>
      <c r="G17" s="11">
        <v>9501</v>
      </c>
      <c r="H17" s="22" t="s">
        <v>3</v>
      </c>
      <c r="I17" s="1"/>
    </row>
    <row r="18" spans="1:9" ht="39" x14ac:dyDescent="0.25">
      <c r="A18" s="1"/>
      <c r="B18" s="60" t="s">
        <v>168</v>
      </c>
      <c r="C18" s="61">
        <v>10</v>
      </c>
      <c r="D18" s="11">
        <v>1714</v>
      </c>
      <c r="E18" s="11">
        <f t="shared" si="0"/>
        <v>171.4</v>
      </c>
      <c r="F18" s="11">
        <v>0</v>
      </c>
      <c r="G18" s="11">
        <v>34</v>
      </c>
      <c r="H18" s="22" t="s">
        <v>3</v>
      </c>
      <c r="I18" s="1"/>
    </row>
    <row r="19" spans="1:9" ht="39" x14ac:dyDescent="0.25">
      <c r="A19" s="1"/>
      <c r="B19" s="60" t="s">
        <v>169</v>
      </c>
      <c r="C19" s="61">
        <v>10</v>
      </c>
      <c r="D19" s="11">
        <v>264037</v>
      </c>
      <c r="E19" s="11">
        <f t="shared" si="0"/>
        <v>26403.7</v>
      </c>
      <c r="F19" s="11">
        <v>0</v>
      </c>
      <c r="G19" s="11">
        <v>5281</v>
      </c>
      <c r="H19" s="22" t="s">
        <v>3</v>
      </c>
      <c r="I19" s="1"/>
    </row>
    <row r="20" spans="1:9" ht="26.25" x14ac:dyDescent="0.25">
      <c r="A20" s="1"/>
      <c r="B20" s="60" t="s">
        <v>170</v>
      </c>
      <c r="C20" s="61">
        <v>75</v>
      </c>
      <c r="D20" s="11">
        <v>92034</v>
      </c>
      <c r="E20" s="11">
        <f t="shared" ref="E20:E21" si="1">D20/C20</f>
        <v>1227.1199999999999</v>
      </c>
      <c r="F20" s="11">
        <v>0</v>
      </c>
      <c r="G20" s="11">
        <v>0</v>
      </c>
      <c r="H20" s="22" t="s">
        <v>3</v>
      </c>
      <c r="I20" s="1"/>
    </row>
    <row r="21" spans="1:9" ht="26.25" x14ac:dyDescent="0.25">
      <c r="A21" s="1"/>
      <c r="B21" s="60" t="s">
        <v>170</v>
      </c>
      <c r="C21" s="61">
        <v>75</v>
      </c>
      <c r="D21" s="11">
        <v>383889</v>
      </c>
      <c r="E21" s="11">
        <f t="shared" si="1"/>
        <v>5118.5200000000004</v>
      </c>
      <c r="F21" s="11">
        <v>0</v>
      </c>
      <c r="G21" s="11">
        <v>0</v>
      </c>
      <c r="H21" s="22" t="s">
        <v>3</v>
      </c>
      <c r="I21" s="1"/>
    </row>
    <row r="22" spans="1:9" x14ac:dyDescent="0.25">
      <c r="A22" s="1"/>
      <c r="B22" s="95" t="s">
        <v>144</v>
      </c>
      <c r="C22" s="96"/>
      <c r="D22" s="97"/>
      <c r="E22" s="20">
        <f>SUM(E10:E21)</f>
        <v>181091.44666666666</v>
      </c>
      <c r="F22" s="20">
        <f t="shared" ref="F22:G22" si="2">SUM(F10:F21)</f>
        <v>0</v>
      </c>
      <c r="G22" s="20">
        <f t="shared" si="2"/>
        <v>176194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password="DFE9" sheet="1" objects="1" scenarios="1"/>
  <mergeCells count="3">
    <mergeCell ref="B3:H4"/>
    <mergeCell ref="B22:D2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Anlægsprojekter'!F22</f>
        <v>0</v>
      </c>
      <c r="E10" s="22" t="s">
        <v>3</v>
      </c>
      <c r="F10" s="11">
        <f>SUM('Fane 10. Anlægsprojekter'!E22,'Fane 10. Anlægsprojekter'!G22)</f>
        <v>357285.44666666666</v>
      </c>
      <c r="G10" s="22" t="s">
        <v>3</v>
      </c>
      <c r="H10" s="1"/>
    </row>
    <row r="11" spans="1:8" x14ac:dyDescent="0.25">
      <c r="A11" s="1"/>
      <c r="B11" s="63" t="s">
        <v>150</v>
      </c>
      <c r="C11" s="64"/>
      <c r="D11" s="53">
        <v>0</v>
      </c>
      <c r="E11" s="22" t="s">
        <v>3</v>
      </c>
      <c r="F11" s="11">
        <v>156014</v>
      </c>
      <c r="G11" s="22" t="s">
        <v>3</v>
      </c>
      <c r="H11" s="1"/>
    </row>
    <row r="12" spans="1:8" x14ac:dyDescent="0.25">
      <c r="A12" s="1"/>
      <c r="B12" s="56" t="s">
        <v>151</v>
      </c>
      <c r="C12" s="57"/>
      <c r="D12" s="53">
        <v>0</v>
      </c>
      <c r="E12" s="22" t="s">
        <v>3</v>
      </c>
      <c r="F12" s="11">
        <v>82485</v>
      </c>
      <c r="G12" s="22" t="s">
        <v>3</v>
      </c>
      <c r="H12" s="1"/>
    </row>
    <row r="13" spans="1:8" x14ac:dyDescent="0.25">
      <c r="A13" s="1"/>
      <c r="B13" s="56" t="s">
        <v>160</v>
      </c>
      <c r="C13" s="57"/>
      <c r="D13" s="53">
        <v>0</v>
      </c>
      <c r="E13" s="22" t="s">
        <v>159</v>
      </c>
      <c r="F13" s="11">
        <v>322</v>
      </c>
      <c r="G13" s="22" t="s">
        <v>159</v>
      </c>
      <c r="H13" s="1"/>
    </row>
    <row r="14" spans="1:8" x14ac:dyDescent="0.25">
      <c r="A14" s="1"/>
      <c r="B14" s="56" t="s">
        <v>177</v>
      </c>
      <c r="C14" s="57"/>
      <c r="D14" s="53">
        <v>0</v>
      </c>
      <c r="E14" s="22" t="s">
        <v>159</v>
      </c>
      <c r="F14" s="11">
        <v>41243</v>
      </c>
      <c r="G14" s="22" t="s">
        <v>159</v>
      </c>
      <c r="H14" s="1"/>
    </row>
    <row r="15" spans="1:8" x14ac:dyDescent="0.25">
      <c r="A15" s="1"/>
      <c r="B15" s="41" t="s">
        <v>145</v>
      </c>
      <c r="C15" s="43"/>
      <c r="D15" s="20">
        <f>SUM(D10:D14)</f>
        <v>0</v>
      </c>
      <c r="E15" s="21" t="s">
        <v>3</v>
      </c>
      <c r="F15" s="20">
        <f>SUM(F10:F14)</f>
        <v>637349.44666666666</v>
      </c>
      <c r="G15" s="21" t="s">
        <v>3</v>
      </c>
      <c r="H15" s="1"/>
    </row>
    <row r="16" spans="1:8" x14ac:dyDescent="0.25">
      <c r="A16" s="1"/>
      <c r="B16" s="41" t="s">
        <v>146</v>
      </c>
      <c r="C16" s="43"/>
      <c r="D16" s="20">
        <f>D15*(1+Prisudvikling2019)</f>
        <v>0</v>
      </c>
      <c r="E16" s="21" t="s">
        <v>3</v>
      </c>
      <c r="F16" s="20">
        <f>F15*(1+Prisudvikling2019)</f>
        <v>648120.65231533325</v>
      </c>
      <c r="G16" s="21" t="s">
        <v>3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157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156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158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26779668.542784866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127263.53081508008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6" t="s">
        <v>77</v>
      </c>
      <c r="C12" s="7">
        <f>'Fane 11. Tillæg'!D16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6" t="s">
        <v>76</v>
      </c>
      <c r="C13" s="11">
        <f>'Fane 11. Tillæg'!F16</f>
        <v>648120.65231533325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6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6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6" t="s">
        <v>42</v>
      </c>
      <c r="C16" s="11">
        <f>SUM(C9:C15)*Prisudvikling2019</f>
        <v>465680.39106796816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6" t="s">
        <v>14</v>
      </c>
      <c r="C17" s="11">
        <f>-SUM(C9:C16)*'Fane 6. Individuelt eff. krav'!G9</f>
        <v>-560414.66233966488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6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-354057.34994254628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6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-96119.399274273877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5" t="s">
        <v>46</v>
      </c>
      <c r="C20" s="17">
        <f>SUM(C9:C19)</f>
        <v>27010141.70542676</v>
      </c>
      <c r="D20" s="18" t="s">
        <v>3</v>
      </c>
      <c r="E20" s="17">
        <f>C20</f>
        <v>27010141.70542676</v>
      </c>
      <c r="F20" s="18" t="s">
        <v>3</v>
      </c>
      <c r="G20" s="1"/>
    </row>
    <row r="21" spans="1:7" ht="17.100000000000001" customHeight="1" x14ac:dyDescent="0.25">
      <c r="A21" s="1"/>
      <c r="B21" s="41" t="s">
        <v>173</v>
      </c>
      <c r="C21" s="42"/>
      <c r="D21" s="42"/>
      <c r="E21" s="42"/>
      <c r="F21" s="43"/>
      <c r="G21" s="1"/>
    </row>
    <row r="22" spans="1:7" ht="17.100000000000001" customHeight="1" x14ac:dyDescent="0.25">
      <c r="A22" s="1"/>
      <c r="B22" s="45" t="s">
        <v>174</v>
      </c>
      <c r="C22" s="11">
        <v>624565</v>
      </c>
      <c r="D22" s="8" t="s">
        <v>3</v>
      </c>
      <c r="E22" s="12"/>
      <c r="F22" s="13"/>
      <c r="G22" s="1"/>
    </row>
    <row r="23" spans="1:7" ht="17.100000000000001" customHeight="1" x14ac:dyDescent="0.25">
      <c r="A23" s="1"/>
      <c r="B23" s="45" t="s">
        <v>175</v>
      </c>
      <c r="C23" s="11">
        <f>-C22*(GenereltKravAnlæg+'Fane 6. Individuelt eff. krav'!G9)</f>
        <v>-17925.015500000001</v>
      </c>
      <c r="D23" s="8" t="s">
        <v>3</v>
      </c>
      <c r="E23" s="12"/>
      <c r="F23" s="13"/>
      <c r="G23" s="1"/>
    </row>
    <row r="24" spans="1:7" ht="17.100000000000001" customHeight="1" x14ac:dyDescent="0.25">
      <c r="A24" s="1"/>
      <c r="B24" s="29" t="s">
        <v>176</v>
      </c>
      <c r="C24" s="17">
        <f>SUM(C22:C23)</f>
        <v>606639.98450000002</v>
      </c>
      <c r="D24" s="18" t="s">
        <v>3</v>
      </c>
      <c r="E24" s="17">
        <f>C24</f>
        <v>606639.98450000002</v>
      </c>
      <c r="F24" s="18" t="s">
        <v>3</v>
      </c>
      <c r="G24" s="1"/>
    </row>
    <row r="25" spans="1:7" ht="15" customHeight="1" x14ac:dyDescent="0.25">
      <c r="A25" s="1"/>
      <c r="B25" s="41" t="s">
        <v>23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23</v>
      </c>
      <c r="C26" s="17">
        <f>'Fane 5. Ikke-påvirkelige omk.'!E17</f>
        <v>28751826.947600264</v>
      </c>
      <c r="D26" s="18" t="s">
        <v>3</v>
      </c>
      <c r="E26" s="17">
        <f>C26</f>
        <v>28751826.947600264</v>
      </c>
      <c r="F26" s="18" t="s">
        <v>3</v>
      </c>
      <c r="G26" s="1"/>
    </row>
    <row r="27" spans="1:7" ht="15" customHeight="1" x14ac:dyDescent="0.25">
      <c r="A27" s="1"/>
      <c r="B27" s="41" t="s">
        <v>84</v>
      </c>
      <c r="C27" s="42"/>
      <c r="D27" s="42"/>
      <c r="E27" s="42"/>
      <c r="F27" s="43"/>
      <c r="G27" s="1"/>
    </row>
    <row r="28" spans="1:7" ht="28.5" customHeight="1" x14ac:dyDescent="0.25">
      <c r="A28" s="1"/>
      <c r="B28" s="29" t="s">
        <v>57</v>
      </c>
      <c r="C28" s="17">
        <v>132271.9225991907</v>
      </c>
      <c r="D28" s="18" t="s">
        <v>3</v>
      </c>
      <c r="E28" s="17">
        <f>C28</f>
        <v>132271.9225991907</v>
      </c>
      <c r="F28" s="18" t="s">
        <v>3</v>
      </c>
      <c r="G28" s="1"/>
    </row>
    <row r="29" spans="1:7" x14ac:dyDescent="0.25">
      <c r="A29" s="1"/>
      <c r="B29" s="41" t="s">
        <v>16</v>
      </c>
      <c r="C29" s="42"/>
      <c r="D29" s="42"/>
      <c r="E29" s="42"/>
      <c r="F29" s="43"/>
      <c r="G29" s="1"/>
    </row>
    <row r="30" spans="1:7" ht="15" customHeight="1" x14ac:dyDescent="0.25">
      <c r="A30" s="1"/>
      <c r="B30" s="29" t="s">
        <v>25</v>
      </c>
      <c r="C30" s="17">
        <f>'Fane 8.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41" t="s">
        <v>109</v>
      </c>
      <c r="C31" s="42"/>
      <c r="D31" s="42"/>
      <c r="E31" s="42"/>
      <c r="F31" s="43"/>
      <c r="G31" s="1"/>
    </row>
    <row r="32" spans="1:7" ht="15" customHeight="1" x14ac:dyDescent="0.25">
      <c r="A32" s="1"/>
      <c r="B32" s="29" t="s">
        <v>113</v>
      </c>
      <c r="C32" s="17">
        <f>'Fane 9. Kontrol af ØR2017'!G30</f>
        <v>362311.80999812047</v>
      </c>
      <c r="D32" s="18" t="s">
        <v>3</v>
      </c>
      <c r="E32" s="17">
        <f>C32</f>
        <v>362311.80999812047</v>
      </c>
      <c r="F32" s="18" t="s">
        <v>3</v>
      </c>
      <c r="G32" s="1"/>
    </row>
    <row r="33" spans="1:7" x14ac:dyDescent="0.25">
      <c r="A33" s="1"/>
      <c r="B33" s="41" t="s">
        <v>36</v>
      </c>
      <c r="C33" s="42"/>
      <c r="D33" s="43"/>
      <c r="E33" s="20">
        <f>SUM(E20,E24,E26,E28,E30,E32:E32)</f>
        <v>56863192.370124325</v>
      </c>
      <c r="F33" s="21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27010141.70542676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456471.39482171222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-549332.26200496941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-352840.10077344376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-96893.445913047617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26467547.291557014</v>
      </c>
      <c r="D14" s="18" t="s">
        <v>3</v>
      </c>
      <c r="E14" s="17">
        <f>C14</f>
        <v>26467547.291557014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29237732.823014706</v>
      </c>
      <c r="D16" s="18" t="s">
        <v>3</v>
      </c>
      <c r="E16" s="17">
        <f>C16</f>
        <v>29237732.823014706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2019'!C32*(1+Prisudvikling2019)</f>
        <v>368434.87958708865</v>
      </c>
      <c r="D20" s="18" t="s">
        <v>3</v>
      </c>
      <c r="E20" s="17">
        <f>C20</f>
        <v>368434.87958708865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56073714.994158812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26467547.291557014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447301.54922731349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-538296.97681568656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-351627.03650698462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-97673.725926182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25927251.101535473</v>
      </c>
      <c r="D13" s="18" t="s">
        <v>3</v>
      </c>
      <c r="E13" s="17">
        <f>C13</f>
        <v>25927251.101535473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29731850.507723652</v>
      </c>
      <c r="D15" s="18" t="s">
        <v>3</v>
      </c>
      <c r="E15" s="17">
        <f>C15</f>
        <v>29731850.507723652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55659101.609259129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25927251.101535473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438170.54361594946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-527308.43290302844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-350418.14275547356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-98460.289510853749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25389234.779982064</v>
      </c>
      <c r="D13" s="18" t="s">
        <v>3</v>
      </c>
      <c r="E13" s="17">
        <f>C13</f>
        <v>25389234.779982064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30234318.781304177</v>
      </c>
      <c r="D15" s="18" t="s">
        <v>3</v>
      </c>
      <c r="E15" s="17">
        <f>C15</f>
        <v>30234318.781304177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55623553.561286241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56890521.842066593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30110853.299281728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26779668.542784866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17899150.102455098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10146511.14422214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17899150.102455098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10271659.665035475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125148.52081333473</v>
      </c>
      <c r="E23" s="22" t="s">
        <v>3</v>
      </c>
      <c r="F23" s="11">
        <f>D23*(1+Prisudvikling2019)</f>
        <v>127263.53081508008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171</v>
      </c>
      <c r="C10" s="48"/>
      <c r="D10" s="49"/>
      <c r="E10" s="11">
        <v>19561252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65434</v>
      </c>
      <c r="F11" s="22" t="s">
        <v>3</v>
      </c>
      <c r="G11" s="1"/>
      <c r="H11" s="1"/>
    </row>
    <row r="12" spans="1:8" ht="26.25" x14ac:dyDescent="0.25">
      <c r="A12" s="1"/>
      <c r="B12" s="44" t="s">
        <v>153</v>
      </c>
      <c r="C12" s="48"/>
      <c r="D12" s="49"/>
      <c r="E12" s="11">
        <v>6414608</v>
      </c>
      <c r="F12" s="22" t="s">
        <v>3</v>
      </c>
      <c r="G12" s="1"/>
      <c r="H12" s="1"/>
    </row>
    <row r="13" spans="1:8" x14ac:dyDescent="0.25">
      <c r="A13" s="1"/>
      <c r="B13" s="44" t="s">
        <v>154</v>
      </c>
      <c r="C13" s="48"/>
      <c r="D13" s="49"/>
      <c r="E13" s="11">
        <v>150840</v>
      </c>
      <c r="F13" s="22" t="s">
        <v>3</v>
      </c>
      <c r="G13" s="1"/>
      <c r="H13" s="1"/>
    </row>
    <row r="14" spans="1:8" x14ac:dyDescent="0.25">
      <c r="A14" s="1"/>
      <c r="B14" s="44" t="s">
        <v>172</v>
      </c>
      <c r="C14" s="48"/>
      <c r="D14" s="49"/>
      <c r="E14" s="11">
        <v>1459000</v>
      </c>
      <c r="F14" s="22" t="s">
        <v>3</v>
      </c>
      <c r="G14" s="1"/>
      <c r="H14" s="1"/>
    </row>
    <row r="15" spans="1:8" ht="26.25" x14ac:dyDescent="0.25">
      <c r="A15" s="1"/>
      <c r="B15" s="44" t="s">
        <v>155</v>
      </c>
      <c r="C15" s="48"/>
      <c r="D15" s="49"/>
      <c r="E15" s="11">
        <v>152973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27804107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28751826.947600264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0.02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2018-10-12T14:43:43Z</dcterms:modified>
</cp:coreProperties>
</file>