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C10" i="23" l="1"/>
  <c r="C11" i="22"/>
  <c r="C11" i="15"/>
  <c r="G12" i="10" l="1"/>
  <c r="E10" i="11" l="1"/>
  <c r="G25" i="11"/>
  <c r="F25" i="11"/>
  <c r="E25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12" i="34" l="1"/>
  <c r="E18" i="34" l="1"/>
  <c r="E20" i="34" s="1"/>
  <c r="G21" i="34" s="1"/>
  <c r="G22" i="34" s="1"/>
  <c r="C26" i="15" s="1"/>
  <c r="E26" i="15" s="1"/>
  <c r="C16" i="23" l="1"/>
  <c r="C17" i="22"/>
  <c r="C17" i="15"/>
  <c r="C21" i="2"/>
  <c r="G12" i="34" l="1"/>
  <c r="C24" i="22" s="1"/>
  <c r="E24" i="22" s="1"/>
  <c r="G10" i="30" l="1"/>
  <c r="G12" i="30"/>
  <c r="D10" i="20" l="1"/>
  <c r="C31" i="2" l="1"/>
  <c r="C17" i="23" l="1"/>
  <c r="E17" i="23" s="1"/>
  <c r="C18" i="22" l="1"/>
  <c r="E18" i="22" s="1"/>
  <c r="C18" i="15"/>
  <c r="E18" i="15" s="1"/>
  <c r="C22" i="2"/>
  <c r="E22" i="2" s="1"/>
  <c r="G13" i="27"/>
  <c r="D13" i="20" l="1"/>
  <c r="F11" i="21"/>
  <c r="F12" i="21" s="1"/>
  <c r="C13" i="2" s="1"/>
  <c r="D11" i="21"/>
  <c r="D12" i="21" s="1"/>
  <c r="C12" i="2" s="1"/>
  <c r="C9" i="2"/>
  <c r="E17" i="19"/>
  <c r="E18" i="19" s="1"/>
  <c r="C24" i="2" l="1"/>
  <c r="C26" i="2" s="1"/>
  <c r="E26" i="2" s="1"/>
  <c r="C20" i="22"/>
  <c r="C22" i="22" s="1"/>
  <c r="E22" i="22" s="1"/>
  <c r="C19" i="23"/>
  <c r="C20" i="15"/>
  <c r="C22" i="15" l="1"/>
  <c r="E22" i="15" s="1"/>
  <c r="C21" i="23"/>
  <c r="E21" i="23" s="1"/>
  <c r="E31" i="2" l="1"/>
  <c r="G14" i="10"/>
  <c r="C24" i="15" s="1"/>
  <c r="E24" i="15" l="1"/>
  <c r="D14" i="20"/>
  <c r="C10" i="2" s="1"/>
  <c r="C16" i="2" s="1"/>
  <c r="C12" i="15" l="1"/>
  <c r="C12" i="22" s="1"/>
  <c r="C11" i="23" s="1"/>
  <c r="F10" i="20" l="1"/>
  <c r="F13" i="20" s="1"/>
  <c r="F14" i="20" s="1"/>
  <c r="C11" i="2" s="1"/>
  <c r="C17" i="2" s="1"/>
  <c r="C33" i="2"/>
  <c r="E33" i="2" s="1"/>
  <c r="C13" i="15" l="1"/>
  <c r="C13" i="22" s="1"/>
  <c r="C12" i="23" s="1"/>
  <c r="C14" i="2"/>
  <c r="C15" i="2" s="1"/>
  <c r="C18" i="2" l="1"/>
  <c r="E18" i="2" s="1"/>
  <c r="E34" i="2" s="1"/>
  <c r="C9" i="15" l="1"/>
  <c r="C10" i="15" l="1"/>
  <c r="C14" i="15" l="1"/>
  <c r="E14" i="15" s="1"/>
  <c r="E27" i="15" s="1"/>
  <c r="C9" i="22" l="1"/>
  <c r="C10" i="22" l="1"/>
  <c r="C14" i="22" l="1"/>
  <c r="E14" i="22" s="1"/>
  <c r="E25" i="22" s="1"/>
  <c r="C8" i="23" l="1"/>
  <c r="C9" i="23" l="1"/>
  <c r="C13" i="23" s="1"/>
  <c r="E13" i="23" s="1"/>
  <c r="E22" i="23" s="1"/>
</calcChain>
</file>

<file path=xl/sharedStrings.xml><?xml version="1.0" encoding="utf-8"?>
<sst xmlns="http://schemas.openxmlformats.org/spreadsheetml/2006/main" count="349" uniqueCount="156">
  <si>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</si>
  <si>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</si>
  <si>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</si>
  <si>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</si>
  <si>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</si>
  <si>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</si>
  <si>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</si>
  <si>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</si>
  <si>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</si>
  <si>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</si>
  <si>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</si>
  <si>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</si>
  <si>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</si>
  <si>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</si>
  <si>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</si>
  <si>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</si>
  <si>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</si>
  <si>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</si>
  <si>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</si>
  <si>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</si>
  <si>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</si>
  <si>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</si>
  <si>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</si>
  <si>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</si>
  <si>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</si>
  <si>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</si>
  <si>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</si>
  <si>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</si>
  <si>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</si>
  <si>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</si>
  <si>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</si>
  <si>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</si>
  <si>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</si>
  <si>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</si>
  <si>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</si>
  <si>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</si>
  <si>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</si>
  <si>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</si>
  <si>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</si>
  <si>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</si>
  <si>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</si>
  <si>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</si>
  <si>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</si>
  <si>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</si>
  <si>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</si>
  <si>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</si>
  <si>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</si>
  <si>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</si>
  <si>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</si>
  <si>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</si>
  <si>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</si>
  <si>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</si>
  <si>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</si>
  <si>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</si>
  <si>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</si>
  <si>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</si>
  <si>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</si>
  <si>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</si>
  <si>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</si>
  <si>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</si>
  <si>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</si>
  <si>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</si>
  <si>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</si>
  <si>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</si>
  <si>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</si>
  <si>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</si>
  <si>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</si>
  <si>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</si>
  <si>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</si>
  <si>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</si>
  <si>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</si>
  <si>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</si>
  <si>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</si>
  <si>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</si>
  <si>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</si>
  <si>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</si>
  <si>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</si>
  <si>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</si>
  <si>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</si>
  <si>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</si>
  <si>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</si>
  <si>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</si>
  <si>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</si>
  <si>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</si>
  <si>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</si>
  <si>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</si>
  <si>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</si>
  <si>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</si>
  <si>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</si>
  <si>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</si>
  <si>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</si>
  <si>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</si>
  <si>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</si>
  <si>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</si>
  <si>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</si>
  <si>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</si>
  <si>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</si>
  <si>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</si>
  <si>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</si>
  <si>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</si>
  <si>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</si>
  <si>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</si>
  <si>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</si>
  <si>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</si>
  <si>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</si>
  <si>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</si>
  <si>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</si>
  <si>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</si>
  <si>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</si>
  <si>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</si>
  <si>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</si>
  <si>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</si>
  <si>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</si>
  <si>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</si>
  <si>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</si>
  <si>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</si>
  <si>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</si>
  <si>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</si>
  <si>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</si>
  <si>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</si>
  <si>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</si>
  <si>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</si>
  <si>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</si>
  <si>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</si>
  <si>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</si>
  <si>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</si>
  <si>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</si>
  <si>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</si>
  <si>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</si>
  <si>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</si>
  <si>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</si>
  <si>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</si>
  <si>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Separtakloakering</t>
  </si>
  <si>
    <t>Byggemodning af nye områder</t>
  </si>
  <si>
    <t>Spildevandsafgift</t>
  </si>
  <si>
    <t>Afgift til Forsyningsekretariatet</t>
  </si>
  <si>
    <t>Køb af ydelser og produkter fra andre vandselskaber reguleret af vandsektorloven</t>
  </si>
  <si>
    <t>Skatter og afgifter</t>
  </si>
  <si>
    <t>Selskabsskatter</t>
  </si>
  <si>
    <t>Erstatninger</t>
  </si>
  <si>
    <t>Undersøgelsesudgifter i forbindelse med fusion</t>
  </si>
  <si>
    <t>Periodevise driftsomkostninger under prisloftsbekendtgørelsen</t>
  </si>
  <si>
    <t>Ingen bortfald eller nedsættelse</t>
  </si>
  <si>
    <t>Ledningsnet ≤ Ø 200 mm</t>
  </si>
  <si>
    <t>Ø 200 mm &lt; Ledningsnet ≤ Ø 500 mm</t>
  </si>
  <si>
    <t>Beluftningstanke, Mek/EL</t>
  </si>
  <si>
    <t>Beluftningstanke, SRO</t>
  </si>
  <si>
    <t>Mower, græsslåmaskiner ( selvkørende )</t>
  </si>
  <si>
    <t>Pumpestationer i brønde (&lt; 6,25 m2), Konstruktioner</t>
  </si>
  <si>
    <t>Pumpestationer i brønde (&lt; 6,25 m2), Mek/EL</t>
  </si>
  <si>
    <t>Pumpestationer i brønde (&lt; 6,25 m2), SRO</t>
  </si>
  <si>
    <t>Tryksatte minipumpestationer (husstandssystemer)</t>
  </si>
  <si>
    <t>Opgjort over- eller underdækning per. 31. december 2010 for Esbjerg Spildevand</t>
  </si>
  <si>
    <t>Opgjort over- eller underdækning per. 31. december 2010 for Varde Kloak og Spildevand</t>
  </si>
  <si>
    <t>Fane 10: Bortfald eller nedsættelse af omkostninger til mål, medfinansiering eller udvidelse</t>
  </si>
  <si>
    <t>Fane 11: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</si>
</sst>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49" fontId="8" fillId="9" borderId="10" xfId="0" applyNumberFormat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1" t="s">
        <v>3</v>
      </c>
      <c r="E6" s="71"/>
      <c r="F6" s="71"/>
      <c r="G6" s="71"/>
      <c r="H6" s="3"/>
      <c r="I6" s="1"/>
    </row>
    <row r="7" spans="1:9" ht="15" customHeight="1" x14ac:dyDescent="0.25">
      <c r="A7" s="1"/>
      <c r="B7" s="1"/>
      <c r="C7" s="3"/>
      <c r="D7" s="71"/>
      <c r="E7" s="71"/>
      <c r="F7" s="71"/>
      <c r="G7" s="71"/>
      <c r="H7" s="3"/>
      <c r="I7" s="1"/>
    </row>
    <row r="8" spans="1:9" ht="15.75" x14ac:dyDescent="0.25">
      <c r="A8" s="1"/>
      <c r="B8" s="1"/>
      <c r="C8" s="4"/>
      <c r="D8" s="76" t="s">
        <v>122</v>
      </c>
      <c r="E8" s="76"/>
      <c r="F8" s="76"/>
      <c r="G8" s="7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5" t="s">
        <v>4</v>
      </c>
      <c r="E11" s="75"/>
      <c r="F11" s="75"/>
      <c r="G11" s="7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68" t="s">
        <v>30</v>
      </c>
      <c r="E13" s="69"/>
      <c r="F13" s="69"/>
      <c r="G13" s="70"/>
      <c r="H13" s="1"/>
      <c r="I13" s="1"/>
    </row>
    <row r="14" spans="1:9" x14ac:dyDescent="0.25">
      <c r="A14" s="1"/>
      <c r="B14" s="1"/>
      <c r="C14" s="6" t="s">
        <v>29</v>
      </c>
      <c r="D14" s="68" t="s">
        <v>94</v>
      </c>
      <c r="E14" s="69"/>
      <c r="F14" s="69"/>
      <c r="G14" s="70"/>
      <c r="H14" s="1"/>
      <c r="I14" s="1"/>
    </row>
    <row r="15" spans="1:9" x14ac:dyDescent="0.25">
      <c r="A15" s="1"/>
      <c r="B15" s="1"/>
      <c r="C15" s="6" t="s">
        <v>93</v>
      </c>
      <c r="D15" s="68" t="s">
        <v>96</v>
      </c>
      <c r="E15" s="69"/>
      <c r="F15" s="69"/>
      <c r="G15" s="70"/>
      <c r="H15" s="1"/>
      <c r="I15" s="1"/>
    </row>
    <row r="16" spans="1:9" x14ac:dyDescent="0.25">
      <c r="A16" s="1"/>
      <c r="B16" s="1"/>
      <c r="C16" s="6" t="s">
        <v>95</v>
      </c>
      <c r="D16" s="68" t="s">
        <v>123</v>
      </c>
      <c r="E16" s="69"/>
      <c r="F16" s="69"/>
      <c r="G16" s="70"/>
      <c r="H16" s="1"/>
      <c r="I16" s="1"/>
    </row>
    <row r="17" spans="1:9" x14ac:dyDescent="0.25">
      <c r="A17" s="1"/>
      <c r="B17" s="1"/>
      <c r="C17" s="6" t="s">
        <v>6</v>
      </c>
      <c r="D17" s="77" t="s">
        <v>97</v>
      </c>
      <c r="E17" s="78"/>
      <c r="F17" s="78"/>
      <c r="G17" s="79"/>
      <c r="H17" s="1"/>
      <c r="I17" s="1"/>
    </row>
    <row r="18" spans="1:9" x14ac:dyDescent="0.25">
      <c r="A18" s="1"/>
      <c r="B18" s="1"/>
      <c r="C18" s="6" t="s">
        <v>7</v>
      </c>
      <c r="D18" s="77" t="s">
        <v>98</v>
      </c>
      <c r="E18" s="78"/>
      <c r="F18" s="78"/>
      <c r="G18" s="79"/>
      <c r="H18" s="1"/>
      <c r="I18" s="1"/>
    </row>
    <row r="19" spans="1:9" x14ac:dyDescent="0.25">
      <c r="A19" s="1"/>
      <c r="B19" s="1"/>
      <c r="C19" s="6" t="s">
        <v>8</v>
      </c>
      <c r="D19" s="83" t="s">
        <v>102</v>
      </c>
      <c r="E19" s="84"/>
      <c r="F19" s="84"/>
      <c r="G19" s="85"/>
      <c r="H19" s="1"/>
      <c r="I19" s="1"/>
    </row>
    <row r="20" spans="1:9" x14ac:dyDescent="0.25">
      <c r="A20" s="1"/>
      <c r="B20" s="1"/>
      <c r="C20" s="6" t="s">
        <v>9</v>
      </c>
      <c r="D20" s="72" t="s">
        <v>99</v>
      </c>
      <c r="E20" s="73"/>
      <c r="F20" s="73"/>
      <c r="G20" s="74"/>
      <c r="H20" s="1"/>
      <c r="I20" s="1"/>
    </row>
    <row r="21" spans="1:9" x14ac:dyDescent="0.25">
      <c r="A21" s="1"/>
      <c r="B21" s="1"/>
      <c r="C21" s="6" t="s">
        <v>10</v>
      </c>
      <c r="D21" s="72" t="s">
        <v>121</v>
      </c>
      <c r="E21" s="73"/>
      <c r="F21" s="73"/>
      <c r="G21" s="74"/>
      <c r="H21" s="1"/>
      <c r="I21" s="1"/>
    </row>
    <row r="22" spans="1:9" x14ac:dyDescent="0.25">
      <c r="A22" s="1"/>
      <c r="B22" s="1"/>
      <c r="C22" s="6" t="s">
        <v>11</v>
      </c>
      <c r="D22" s="72" t="s">
        <v>103</v>
      </c>
      <c r="E22" s="73"/>
      <c r="F22" s="73"/>
      <c r="G22" s="74"/>
      <c r="H22" s="1"/>
      <c r="I22" s="1"/>
    </row>
    <row r="23" spans="1:9" x14ac:dyDescent="0.25">
      <c r="A23" s="1"/>
      <c r="B23" s="1"/>
      <c r="C23" s="6" t="s">
        <v>12</v>
      </c>
      <c r="D23" s="86" t="s">
        <v>27</v>
      </c>
      <c r="E23" s="87"/>
      <c r="F23" s="87"/>
      <c r="G23" s="88"/>
      <c r="H23" s="1"/>
      <c r="I23" s="1"/>
    </row>
    <row r="24" spans="1:9" x14ac:dyDescent="0.25">
      <c r="A24" s="1"/>
      <c r="B24" s="1"/>
      <c r="C24" s="6" t="s">
        <v>25</v>
      </c>
      <c r="D24" s="80" t="s">
        <v>100</v>
      </c>
      <c r="E24" s="81"/>
      <c r="F24" s="81"/>
      <c r="G24" s="82"/>
      <c r="H24" s="1"/>
      <c r="I24" s="1"/>
    </row>
    <row r="25" spans="1:9" x14ac:dyDescent="0.25">
      <c r="A25" s="1"/>
      <c r="B25" s="1"/>
      <c r="C25" s="6" t="s">
        <v>28</v>
      </c>
      <c r="D25" s="80" t="s">
        <v>53</v>
      </c>
      <c r="E25" s="81"/>
      <c r="F25" s="81"/>
      <c r="G25" s="82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24:G24"/>
    <mergeCell ref="D25:G25"/>
    <mergeCell ref="D19:G19"/>
    <mergeCell ref="D21:G21"/>
    <mergeCell ref="D22:G22"/>
    <mergeCell ref="D23:G23"/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4" t="s">
        <v>125</v>
      </c>
      <c r="C3" s="94"/>
      <c r="D3" s="94"/>
      <c r="E3" s="94"/>
      <c r="F3" s="94"/>
      <c r="G3" s="94"/>
      <c r="H3" s="94"/>
      <c r="I3" s="1"/>
    </row>
    <row r="4" spans="1:9" ht="15" customHeight="1" x14ac:dyDescent="0.25">
      <c r="A4" s="1"/>
      <c r="B4" s="94"/>
      <c r="C4" s="94"/>
      <c r="D4" s="94"/>
      <c r="E4" s="94"/>
      <c r="F4" s="94"/>
      <c r="G4" s="94"/>
      <c r="H4" s="9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1" t="s">
        <v>115</v>
      </c>
      <c r="C8" s="92"/>
      <c r="D8" s="92"/>
      <c r="E8" s="92"/>
      <c r="F8" s="92"/>
      <c r="G8" s="92"/>
      <c r="H8" s="93"/>
      <c r="I8" s="1"/>
    </row>
    <row r="9" spans="1:9" x14ac:dyDescent="0.25">
      <c r="A9" s="1"/>
      <c r="B9" s="98" t="s">
        <v>104</v>
      </c>
      <c r="C9" s="99"/>
      <c r="D9" s="100"/>
      <c r="E9" s="11">
        <v>226705698</v>
      </c>
      <c r="F9" s="22" t="s">
        <v>2</v>
      </c>
      <c r="G9" s="19"/>
      <c r="H9" s="27"/>
      <c r="I9" s="1"/>
    </row>
    <row r="10" spans="1:9" x14ac:dyDescent="0.25">
      <c r="A10" s="1"/>
      <c r="B10" s="98" t="s">
        <v>105</v>
      </c>
      <c r="C10" s="99"/>
      <c r="D10" s="100"/>
      <c r="E10" s="11">
        <v>244037436</v>
      </c>
      <c r="F10" s="22" t="s">
        <v>2</v>
      </c>
      <c r="G10" s="14"/>
      <c r="H10" s="28"/>
      <c r="I10" s="1"/>
    </row>
    <row r="11" spans="1:9" x14ac:dyDescent="0.25">
      <c r="A11" s="1"/>
      <c r="B11" s="98" t="s">
        <v>111</v>
      </c>
      <c r="C11" s="99"/>
      <c r="D11" s="100"/>
      <c r="E11" s="11">
        <v>177686</v>
      </c>
      <c r="F11" s="22" t="s">
        <v>2</v>
      </c>
      <c r="G11" s="14"/>
      <c r="H11" s="28"/>
      <c r="I11" s="1"/>
    </row>
    <row r="12" spans="1:9" x14ac:dyDescent="0.25">
      <c r="A12" s="1"/>
      <c r="B12" s="44" t="s">
        <v>106</v>
      </c>
      <c r="C12" s="45"/>
      <c r="D12" s="46"/>
      <c r="E12" s="17">
        <f>E9-(E10-E11)</f>
        <v>-17154052</v>
      </c>
      <c r="F12" s="25" t="s">
        <v>2</v>
      </c>
      <c r="G12" s="17">
        <f>E12</f>
        <v>-17154052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1" t="s">
        <v>116</v>
      </c>
      <c r="C17" s="92"/>
      <c r="D17" s="92"/>
      <c r="E17" s="92"/>
      <c r="F17" s="92"/>
      <c r="G17" s="92"/>
      <c r="H17" s="93"/>
      <c r="I17" s="1"/>
    </row>
    <row r="18" spans="1:9" x14ac:dyDescent="0.25">
      <c r="A18" s="1"/>
      <c r="B18" s="101" t="s">
        <v>117</v>
      </c>
      <c r="C18" s="102"/>
      <c r="D18" s="103"/>
      <c r="E18" s="11">
        <f>IF(E12&lt;0,E12,0)</f>
        <v>-17154052</v>
      </c>
      <c r="F18" s="22" t="s">
        <v>2</v>
      </c>
      <c r="G18" s="14"/>
      <c r="H18" s="28"/>
      <c r="I18" s="1"/>
    </row>
    <row r="19" spans="1:9" x14ac:dyDescent="0.25">
      <c r="A19" s="1"/>
      <c r="B19" s="101" t="s">
        <v>112</v>
      </c>
      <c r="C19" s="102"/>
      <c r="D19" s="103"/>
      <c r="E19" s="11">
        <v>2</v>
      </c>
      <c r="F19" s="22" t="s">
        <v>37</v>
      </c>
      <c r="G19" s="14"/>
      <c r="H19" s="28"/>
      <c r="I19" s="1"/>
    </row>
    <row r="20" spans="1:9" x14ac:dyDescent="0.25">
      <c r="A20" s="1"/>
      <c r="B20" s="101" t="s">
        <v>118</v>
      </c>
      <c r="C20" s="102"/>
      <c r="D20" s="103"/>
      <c r="E20" s="11">
        <f>E18/E19</f>
        <v>-8577026</v>
      </c>
      <c r="F20" s="22" t="s">
        <v>2</v>
      </c>
      <c r="G20" s="14"/>
      <c r="H20" s="28"/>
      <c r="I20" s="1"/>
    </row>
    <row r="21" spans="1:9" x14ac:dyDescent="0.25">
      <c r="A21" s="1"/>
      <c r="B21" s="91" t="s">
        <v>113</v>
      </c>
      <c r="C21" s="92"/>
      <c r="D21" s="92"/>
      <c r="E21" s="92"/>
      <c r="F21" s="93"/>
      <c r="G21" s="20">
        <f>E20</f>
        <v>-8577026</v>
      </c>
      <c r="H21" s="21" t="s">
        <v>2</v>
      </c>
      <c r="I21" s="1"/>
    </row>
    <row r="22" spans="1:9" x14ac:dyDescent="0.25">
      <c r="A22" s="1"/>
      <c r="B22" s="91" t="s">
        <v>114</v>
      </c>
      <c r="C22" s="92"/>
      <c r="D22" s="92"/>
      <c r="E22" s="92"/>
      <c r="F22" s="93"/>
      <c r="G22" s="20">
        <f>G21*(1+Prisudvikling2019)^3</f>
        <v>-9019271.6710538659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18:D18"/>
    <mergeCell ref="B19:D19"/>
    <mergeCell ref="B20:D20"/>
    <mergeCell ref="B21:F21"/>
    <mergeCell ref="B22:F22"/>
    <mergeCell ref="B3:H4"/>
    <mergeCell ref="B8:H8"/>
    <mergeCell ref="B17:H17"/>
    <mergeCell ref="B9:D9"/>
    <mergeCell ref="B10:D10"/>
    <mergeCell ref="B11:D11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60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129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1" t="s">
        <v>126</v>
      </c>
      <c r="C8" s="92"/>
      <c r="D8" s="92"/>
      <c r="E8" s="92"/>
      <c r="F8" s="92"/>
      <c r="G8" s="92"/>
      <c r="H8" s="93"/>
      <c r="I8" s="1"/>
    </row>
    <row r="9" spans="1:9" ht="39" customHeight="1" x14ac:dyDescent="0.25">
      <c r="A9" s="1"/>
      <c r="B9" s="38" t="s">
        <v>88</v>
      </c>
      <c r="C9" s="38" t="s">
        <v>0</v>
      </c>
      <c r="D9" s="38" t="s">
        <v>18</v>
      </c>
      <c r="E9" s="18" t="s">
        <v>1</v>
      </c>
      <c r="F9" s="18" t="s">
        <v>20</v>
      </c>
      <c r="G9" s="18" t="s">
        <v>89</v>
      </c>
      <c r="H9" s="37"/>
      <c r="I9" s="1"/>
    </row>
    <row r="10" spans="1:9" x14ac:dyDescent="0.25">
      <c r="A10" s="1"/>
      <c r="B10" s="60" t="s">
        <v>143</v>
      </c>
      <c r="C10" s="61">
        <v>75</v>
      </c>
      <c r="D10" s="11">
        <v>103944</v>
      </c>
      <c r="E10" s="11">
        <f>D10/C10</f>
        <v>1385.92</v>
      </c>
      <c r="F10" s="11">
        <v>815</v>
      </c>
      <c r="G10" s="11">
        <v>4002</v>
      </c>
      <c r="H10" s="22" t="s">
        <v>2</v>
      </c>
      <c r="I10" s="1"/>
    </row>
    <row r="11" spans="1:9" ht="26.25" x14ac:dyDescent="0.25">
      <c r="A11" s="1"/>
      <c r="B11" s="60" t="s">
        <v>144</v>
      </c>
      <c r="C11" s="61">
        <v>75</v>
      </c>
      <c r="D11" s="11">
        <v>9177602</v>
      </c>
      <c r="E11" s="11">
        <f t="shared" ref="E11:E24" si="0">D11/C11</f>
        <v>122368.02666666667</v>
      </c>
      <c r="F11" s="11">
        <v>4585</v>
      </c>
      <c r="G11" s="11">
        <v>353338</v>
      </c>
      <c r="H11" s="22"/>
      <c r="I11" s="1"/>
    </row>
    <row r="12" spans="1:9" ht="26.25" x14ac:dyDescent="0.25">
      <c r="A12" s="1"/>
      <c r="B12" s="60" t="s">
        <v>144</v>
      </c>
      <c r="C12" s="61">
        <v>75</v>
      </c>
      <c r="D12" s="11">
        <v>9054778</v>
      </c>
      <c r="E12" s="11">
        <f t="shared" si="0"/>
        <v>120730.37333333334</v>
      </c>
      <c r="F12" s="11">
        <v>7870</v>
      </c>
      <c r="G12" s="11">
        <v>348609</v>
      </c>
      <c r="H12" s="22"/>
      <c r="I12" s="1"/>
    </row>
    <row r="13" spans="1:9" x14ac:dyDescent="0.25">
      <c r="A13" s="1"/>
      <c r="B13" s="60" t="s">
        <v>143</v>
      </c>
      <c r="C13" s="61">
        <v>75</v>
      </c>
      <c r="D13" s="11">
        <v>8155917</v>
      </c>
      <c r="E13" s="11">
        <f t="shared" si="0"/>
        <v>108745.56</v>
      </c>
      <c r="F13" s="11">
        <v>10887</v>
      </c>
      <c r="G13" s="11">
        <v>314003</v>
      </c>
      <c r="H13" s="22"/>
      <c r="I13" s="1"/>
    </row>
    <row r="14" spans="1:9" x14ac:dyDescent="0.25">
      <c r="A14" s="1"/>
      <c r="B14" s="60" t="s">
        <v>143</v>
      </c>
      <c r="C14" s="61">
        <v>75</v>
      </c>
      <c r="D14" s="11">
        <v>337011</v>
      </c>
      <c r="E14" s="11">
        <f t="shared" si="0"/>
        <v>4493.4799999999996</v>
      </c>
      <c r="F14" s="11">
        <v>0</v>
      </c>
      <c r="G14" s="11">
        <v>12975</v>
      </c>
      <c r="H14" s="22"/>
      <c r="I14" s="1"/>
    </row>
    <row r="15" spans="1:9" x14ac:dyDescent="0.25">
      <c r="A15" s="1"/>
      <c r="B15" s="60" t="s">
        <v>145</v>
      </c>
      <c r="C15" s="61">
        <v>20</v>
      </c>
      <c r="D15" s="11">
        <v>318610</v>
      </c>
      <c r="E15" s="11">
        <f t="shared" si="0"/>
        <v>15930.5</v>
      </c>
      <c r="F15" s="11">
        <v>0</v>
      </c>
      <c r="G15" s="11">
        <v>12266</v>
      </c>
      <c r="H15" s="22"/>
      <c r="I15" s="1"/>
    </row>
    <row r="16" spans="1:9" x14ac:dyDescent="0.25">
      <c r="A16" s="1"/>
      <c r="B16" s="60" t="s">
        <v>146</v>
      </c>
      <c r="C16" s="61">
        <v>10</v>
      </c>
      <c r="D16" s="11">
        <v>47731</v>
      </c>
      <c r="E16" s="11">
        <f t="shared" si="0"/>
        <v>4773.1000000000004</v>
      </c>
      <c r="F16" s="11">
        <v>0</v>
      </c>
      <c r="G16" s="11">
        <v>1838</v>
      </c>
      <c r="H16" s="22"/>
      <c r="I16" s="1"/>
    </row>
    <row r="17" spans="1:9" ht="26.25" x14ac:dyDescent="0.25">
      <c r="A17" s="1"/>
      <c r="B17" s="60" t="s">
        <v>147</v>
      </c>
      <c r="C17" s="61">
        <v>30</v>
      </c>
      <c r="D17" s="11">
        <v>196308</v>
      </c>
      <c r="E17" s="11">
        <f t="shared" si="0"/>
        <v>6543.6</v>
      </c>
      <c r="F17" s="11">
        <v>0</v>
      </c>
      <c r="G17" s="11">
        <v>7558</v>
      </c>
      <c r="H17" s="22"/>
      <c r="I17" s="1"/>
    </row>
    <row r="18" spans="1:9" ht="26.25" x14ac:dyDescent="0.25">
      <c r="A18" s="1"/>
      <c r="B18" s="60" t="s">
        <v>144</v>
      </c>
      <c r="C18" s="61">
        <v>75</v>
      </c>
      <c r="D18" s="11">
        <v>2723146.47</v>
      </c>
      <c r="E18" s="11">
        <f t="shared" si="0"/>
        <v>36308.619600000005</v>
      </c>
      <c r="F18" s="11">
        <v>10444</v>
      </c>
      <c r="G18" s="11">
        <v>104841</v>
      </c>
      <c r="H18" s="22"/>
      <c r="I18" s="1"/>
    </row>
    <row r="19" spans="1:9" ht="26.25" x14ac:dyDescent="0.25">
      <c r="A19" s="1"/>
      <c r="B19" s="60" t="s">
        <v>148</v>
      </c>
      <c r="C19" s="61">
        <v>50</v>
      </c>
      <c r="D19" s="11">
        <v>497741</v>
      </c>
      <c r="E19" s="11">
        <f t="shared" si="0"/>
        <v>9954.82</v>
      </c>
      <c r="F19" s="11">
        <v>11103</v>
      </c>
      <c r="G19" s="11">
        <v>19163</v>
      </c>
      <c r="H19" s="22"/>
      <c r="I19" s="1"/>
    </row>
    <row r="20" spans="1:9" ht="26.25" x14ac:dyDescent="0.25">
      <c r="A20" s="1"/>
      <c r="B20" s="60" t="s">
        <v>149</v>
      </c>
      <c r="C20" s="61">
        <v>20</v>
      </c>
      <c r="D20" s="11">
        <v>119937</v>
      </c>
      <c r="E20" s="11">
        <f t="shared" si="0"/>
        <v>5996.85</v>
      </c>
      <c r="F20" s="11">
        <v>0</v>
      </c>
      <c r="G20" s="11">
        <v>4618</v>
      </c>
      <c r="H20" s="22"/>
      <c r="I20" s="1"/>
    </row>
    <row r="21" spans="1:9" ht="26.25" x14ac:dyDescent="0.25">
      <c r="A21" s="1"/>
      <c r="B21" s="60" t="s">
        <v>150</v>
      </c>
      <c r="C21" s="61">
        <v>10</v>
      </c>
      <c r="D21" s="11">
        <v>29984</v>
      </c>
      <c r="E21" s="11">
        <f t="shared" si="0"/>
        <v>2998.4</v>
      </c>
      <c r="F21" s="11">
        <v>0</v>
      </c>
      <c r="G21" s="11">
        <v>1154</v>
      </c>
      <c r="H21" s="22"/>
      <c r="I21" s="1"/>
    </row>
    <row r="22" spans="1:9" ht="26.25" x14ac:dyDescent="0.25">
      <c r="A22" s="1"/>
      <c r="B22" s="60" t="s">
        <v>151</v>
      </c>
      <c r="C22" s="61">
        <v>30</v>
      </c>
      <c r="D22" s="11">
        <v>671650</v>
      </c>
      <c r="E22" s="11">
        <f t="shared" si="0"/>
        <v>22388.333333333332</v>
      </c>
      <c r="F22" s="11">
        <v>79956</v>
      </c>
      <c r="G22" s="11">
        <v>25859</v>
      </c>
      <c r="H22" s="22"/>
      <c r="I22" s="1"/>
    </row>
    <row r="23" spans="1:9" ht="26.25" x14ac:dyDescent="0.25">
      <c r="A23" s="1"/>
      <c r="B23" s="60" t="s">
        <v>144</v>
      </c>
      <c r="C23" s="61">
        <v>75</v>
      </c>
      <c r="D23" s="11">
        <v>328699</v>
      </c>
      <c r="E23" s="11">
        <f t="shared" si="0"/>
        <v>4382.6533333333336</v>
      </c>
      <c r="F23" s="11">
        <v>654</v>
      </c>
      <c r="G23" s="11">
        <v>12655</v>
      </c>
      <c r="H23" s="22"/>
      <c r="I23" s="1"/>
    </row>
    <row r="24" spans="1:9" ht="26.25" x14ac:dyDescent="0.25">
      <c r="A24" s="1"/>
      <c r="B24" s="60" t="s">
        <v>144</v>
      </c>
      <c r="C24" s="61">
        <v>75</v>
      </c>
      <c r="D24" s="11">
        <v>6153615</v>
      </c>
      <c r="E24" s="11">
        <f t="shared" si="0"/>
        <v>82048.2</v>
      </c>
      <c r="F24" s="11">
        <v>15192</v>
      </c>
      <c r="G24" s="11">
        <v>236914</v>
      </c>
      <c r="H24" s="22"/>
      <c r="I24" s="1"/>
    </row>
    <row r="25" spans="1:9" x14ac:dyDescent="0.25">
      <c r="A25" s="1"/>
      <c r="B25" s="91" t="s">
        <v>130</v>
      </c>
      <c r="C25" s="92"/>
      <c r="D25" s="93"/>
      <c r="E25" s="20">
        <f>SUM(E10:E24)</f>
        <v>549048.43626666651</v>
      </c>
      <c r="F25" s="20">
        <f>SUM(F10:F24)</f>
        <v>141506</v>
      </c>
      <c r="G25" s="20">
        <f>SUM(G10:G24)</f>
        <v>1459793</v>
      </c>
      <c r="H25" s="21" t="s">
        <v>2</v>
      </c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</sheetData>
  <sheetProtection password="DFE9" sheet="1" objects="1" scenarios="1"/>
  <mergeCells count="3">
    <mergeCell ref="B3:H4"/>
    <mergeCell ref="B8:H8"/>
    <mergeCell ref="B25:D25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9" t="s">
        <v>120</v>
      </c>
      <c r="C3" s="89"/>
      <c r="D3" s="89"/>
      <c r="E3" s="89"/>
      <c r="F3" s="89"/>
      <c r="G3" s="89"/>
      <c r="H3" s="1"/>
    </row>
    <row r="4" spans="1:8" ht="15" customHeight="1" x14ac:dyDescent="0.25">
      <c r="A4" s="1"/>
      <c r="B4" s="89"/>
      <c r="C4" s="89"/>
      <c r="D4" s="89"/>
      <c r="E4" s="89"/>
      <c r="F4" s="89"/>
      <c r="G4" s="89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38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33</v>
      </c>
      <c r="C9" s="37"/>
      <c r="D9" s="29" t="s">
        <v>20</v>
      </c>
      <c r="E9" s="37"/>
      <c r="F9" s="29" t="s">
        <v>109</v>
      </c>
      <c r="G9" s="37"/>
      <c r="H9" s="1"/>
    </row>
    <row r="10" spans="1:8" x14ac:dyDescent="0.25">
      <c r="A10" s="1"/>
      <c r="B10" s="55" t="s">
        <v>126</v>
      </c>
      <c r="C10" s="56"/>
      <c r="D10" s="57">
        <f>'Fane 8. Anlægsprojekter'!F25</f>
        <v>141506</v>
      </c>
      <c r="E10" s="22" t="s">
        <v>2</v>
      </c>
      <c r="F10" s="11">
        <f>SUM('Fane 8. Anlægsprojekter'!E25,'Fane 8. Anlægsprojekter'!G25)</f>
        <v>2008841.4362666665</v>
      </c>
      <c r="G10" s="22" t="s">
        <v>2</v>
      </c>
      <c r="H10" s="1"/>
    </row>
    <row r="11" spans="1:8" x14ac:dyDescent="0.25">
      <c r="A11" s="1"/>
      <c r="B11" s="62" t="s">
        <v>132</v>
      </c>
      <c r="C11" s="63"/>
      <c r="D11" s="57">
        <v>0</v>
      </c>
      <c r="E11" s="22" t="s">
        <v>2</v>
      </c>
      <c r="F11" s="11">
        <v>547788</v>
      </c>
      <c r="G11" s="22" t="s">
        <v>2</v>
      </c>
      <c r="H11" s="1"/>
    </row>
    <row r="12" spans="1:8" x14ac:dyDescent="0.25">
      <c r="A12" s="1"/>
      <c r="B12" s="55" t="s">
        <v>133</v>
      </c>
      <c r="C12" s="56"/>
      <c r="D12" s="57">
        <v>0</v>
      </c>
      <c r="E12" s="22" t="s">
        <v>2</v>
      </c>
      <c r="F12" s="11">
        <v>657581</v>
      </c>
      <c r="G12" s="22" t="s">
        <v>2</v>
      </c>
      <c r="H12" s="1"/>
    </row>
    <row r="13" spans="1:8" x14ac:dyDescent="0.25">
      <c r="A13" s="1"/>
      <c r="B13" s="39" t="s">
        <v>68</v>
      </c>
      <c r="C13" s="41"/>
      <c r="D13" s="20">
        <f>SUM(D10:D12)</f>
        <v>141506</v>
      </c>
      <c r="E13" s="21" t="s">
        <v>2</v>
      </c>
      <c r="F13" s="20">
        <f>SUM(F10:F12)</f>
        <v>3214210.4362666663</v>
      </c>
      <c r="G13" s="21" t="s">
        <v>2</v>
      </c>
      <c r="H13" s="1"/>
    </row>
    <row r="14" spans="1:8" x14ac:dyDescent="0.25">
      <c r="A14" s="1"/>
      <c r="B14" s="39" t="s">
        <v>69</v>
      </c>
      <c r="C14" s="41"/>
      <c r="D14" s="20">
        <f>D13*(1+Prisudvikling2019)</f>
        <v>143897.45139999999</v>
      </c>
      <c r="E14" s="21" t="s">
        <v>2</v>
      </c>
      <c r="F14" s="20">
        <f>F13*(1+Prisudvikling2019)</f>
        <v>3268530.5926395725</v>
      </c>
      <c r="G14" s="21" t="s">
        <v>2</v>
      </c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4" t="s">
        <v>154</v>
      </c>
      <c r="C3" s="94"/>
      <c r="D3" s="94"/>
      <c r="E3" s="94"/>
      <c r="F3" s="94"/>
      <c r="G3" s="94"/>
      <c r="H3" s="1"/>
    </row>
    <row r="4" spans="1:8" ht="25.5" customHeight="1" x14ac:dyDescent="0.25">
      <c r="A4" s="1"/>
      <c r="B4" s="94"/>
      <c r="C4" s="94"/>
      <c r="D4" s="94"/>
      <c r="E4" s="94"/>
      <c r="F4" s="94"/>
      <c r="G4" s="9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34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35</v>
      </c>
      <c r="C9" s="30"/>
      <c r="D9" s="29" t="s">
        <v>20</v>
      </c>
      <c r="E9" s="37"/>
      <c r="F9" s="29" t="s">
        <v>109</v>
      </c>
      <c r="G9" s="37"/>
      <c r="H9" s="1"/>
    </row>
    <row r="10" spans="1:8" x14ac:dyDescent="0.25">
      <c r="A10" s="1"/>
      <c r="B10" s="55" t="s">
        <v>142</v>
      </c>
      <c r="C10" s="64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70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71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4" t="s">
        <v>155</v>
      </c>
      <c r="C3" s="94"/>
      <c r="D3" s="94"/>
      <c r="E3" s="94"/>
      <c r="F3" s="94"/>
      <c r="G3" s="1"/>
      <c r="H3" s="1"/>
    </row>
    <row r="4" spans="1:8" ht="25.5" customHeight="1" x14ac:dyDescent="0.25">
      <c r="A4" s="1"/>
      <c r="B4" s="94"/>
      <c r="C4" s="94"/>
      <c r="D4" s="94"/>
      <c r="E4" s="94"/>
      <c r="F4" s="9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26</v>
      </c>
      <c r="C8" s="40"/>
      <c r="D8" s="40"/>
      <c r="E8" s="40"/>
      <c r="F8" s="41"/>
      <c r="G8" s="41"/>
      <c r="H8" s="1"/>
    </row>
    <row r="9" spans="1:8" x14ac:dyDescent="0.25">
      <c r="A9" s="1"/>
      <c r="B9" s="65" t="s">
        <v>43</v>
      </c>
      <c r="C9" s="66"/>
      <c r="D9" s="66"/>
      <c r="E9" s="67"/>
      <c r="F9" s="58">
        <v>1.7500000000000002E-2</v>
      </c>
      <c r="G9" s="59"/>
      <c r="H9" s="1"/>
    </row>
    <row r="10" spans="1:8" x14ac:dyDescent="0.25">
      <c r="A10" s="1"/>
      <c r="B10" s="65" t="s">
        <v>44</v>
      </c>
      <c r="C10" s="66"/>
      <c r="D10" s="66"/>
      <c r="E10" s="67"/>
      <c r="F10" s="58">
        <v>1.6899999999999998E-2</v>
      </c>
      <c r="G10" s="59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108</v>
      </c>
      <c r="C13" s="40"/>
      <c r="D13" s="40"/>
      <c r="E13" s="40"/>
      <c r="F13" s="41"/>
      <c r="G13" s="41"/>
      <c r="H13" s="1"/>
    </row>
    <row r="14" spans="1:8" x14ac:dyDescent="0.25">
      <c r="A14" s="1"/>
      <c r="B14" s="65" t="s">
        <v>13</v>
      </c>
      <c r="C14" s="66"/>
      <c r="D14" s="66"/>
      <c r="E14" s="67"/>
      <c r="F14" s="58">
        <v>4.5263380820921399E-3</v>
      </c>
      <c r="G14" s="59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2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89" t="s">
        <v>40</v>
      </c>
      <c r="C3" s="89"/>
      <c r="D3" s="89"/>
      <c r="E3" s="89"/>
      <c r="F3" s="89"/>
      <c r="G3" s="1"/>
      <c r="I3" s="36"/>
    </row>
    <row r="4" spans="1:9" ht="15" customHeight="1" x14ac:dyDescent="0.25">
      <c r="A4" s="1"/>
      <c r="B4" s="89"/>
      <c r="C4" s="89"/>
      <c r="D4" s="89"/>
      <c r="E4" s="89"/>
      <c r="F4" s="89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24</v>
      </c>
      <c r="C8" s="40"/>
      <c r="D8" s="40"/>
      <c r="E8" s="40"/>
      <c r="F8" s="41"/>
      <c r="G8" s="1"/>
    </row>
    <row r="9" spans="1:9" ht="29.25" customHeight="1" x14ac:dyDescent="0.25">
      <c r="A9" s="1"/>
      <c r="B9" s="42" t="s">
        <v>48</v>
      </c>
      <c r="C9" s="7">
        <f>'Fane 3. Omkostninger i ØR2018'!G13</f>
        <v>238401968.72614616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3" t="s">
        <v>63</v>
      </c>
      <c r="C10" s="7">
        <f>'Fane 9. Tillæg'!D14</f>
        <v>143897.45139999999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3" t="s">
        <v>62</v>
      </c>
      <c r="C11" s="11">
        <f>'Fane 9. Tillæg'!F14</f>
        <v>3268530.5926395725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3" t="s">
        <v>65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3" t="s">
        <v>64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3" t="s">
        <v>36</v>
      </c>
      <c r="C14" s="11">
        <f>C9*Prisudvikling2018+SUM(C10:C13)*Prisudvikling2019</f>
        <v>4229704.4866518276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3" t="s">
        <v>13</v>
      </c>
      <c r="C15" s="11">
        <f>-SUM(C9:C14)*IndividueltKrav</f>
        <v>-1113678.7853929584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3" t="s">
        <v>60</v>
      </c>
      <c r="C16" s="11">
        <f>-(('Fane 5. Generelt eff. krav'!G10-'Fane 5. Generelt eff. krav'!G9-'Fane 3. Omkostninger i ØR2018'!G12)*(1+Prisudvikling2018)*GenereltKravDrift2018+SUM(C10,C12)*(1+Prisudvikling2019)*GenereltKravDrift2019)</f>
        <v>-1797490.7447734701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3" t="s">
        <v>61</v>
      </c>
      <c r="C17" s="11">
        <f>-(('Fane 5. Generelt eff. krav'!G12-'Fane 5. Generelt eff. krav'!G11)*(1+Prisudvikling2018)*GenereltKravAnlæg2018+SUM(C11,C13)*(1+Prisudvikling2019)*GenereltKravAnlæg2019)</f>
        <v>-2757114.3970378083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4" t="s">
        <v>39</v>
      </c>
      <c r="C18" s="17">
        <f>SUM(C9:C17)</f>
        <v>240375817.32963333</v>
      </c>
      <c r="D18" s="18" t="s">
        <v>2</v>
      </c>
      <c r="E18" s="17">
        <f>C18</f>
        <v>240375817.32963333</v>
      </c>
      <c r="F18" s="18" t="s">
        <v>2</v>
      </c>
      <c r="G18" s="1"/>
    </row>
    <row r="19" spans="1:7" ht="15" customHeight="1" x14ac:dyDescent="0.25">
      <c r="A19" s="1"/>
      <c r="B19" s="39" t="s">
        <v>73</v>
      </c>
      <c r="C19" s="40"/>
      <c r="D19" s="40"/>
      <c r="E19" s="40"/>
      <c r="F19" s="41"/>
      <c r="G19" s="1"/>
    </row>
    <row r="20" spans="1:7" ht="15" customHeight="1" x14ac:dyDescent="0.25">
      <c r="A20" s="1"/>
      <c r="B20" s="43" t="s">
        <v>141</v>
      </c>
      <c r="C20" s="11">
        <v>977078.79500000004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3" t="s">
        <v>75</v>
      </c>
      <c r="C21" s="11">
        <f>-(C20*(GenereltKravDrift2018+IndividueltKrav))</f>
        <v>-23964.164859013199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76</v>
      </c>
      <c r="C22" s="17">
        <f>SUM(C20:C21)</f>
        <v>953114.63014098688</v>
      </c>
      <c r="D22" s="18" t="s">
        <v>2</v>
      </c>
      <c r="E22" s="17">
        <f>C22</f>
        <v>953114.63014098688</v>
      </c>
      <c r="F22" s="18" t="s">
        <v>2</v>
      </c>
      <c r="G22" s="1"/>
    </row>
    <row r="23" spans="1:7" ht="15" customHeight="1" x14ac:dyDescent="0.25">
      <c r="A23" s="1"/>
      <c r="B23" s="39" t="s">
        <v>21</v>
      </c>
      <c r="C23" s="40"/>
      <c r="D23" s="40"/>
      <c r="E23" s="40"/>
      <c r="F23" s="41"/>
      <c r="G23" s="1"/>
    </row>
    <row r="24" spans="1:7" ht="15" customHeight="1" x14ac:dyDescent="0.25">
      <c r="A24" s="1"/>
      <c r="B24" s="43" t="s">
        <v>21</v>
      </c>
      <c r="C24" s="11">
        <f>'Fane 4. Ikke-påvirkelige omk.'!E18</f>
        <v>18657874.298271917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3" t="s">
        <v>78</v>
      </c>
      <c r="C25" s="11">
        <v>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29" t="s">
        <v>79</v>
      </c>
      <c r="C26" s="17">
        <f>SUM(C24:C25)</f>
        <v>18657874.298271917</v>
      </c>
      <c r="D26" s="18" t="s">
        <v>2</v>
      </c>
      <c r="E26" s="17">
        <f>C26</f>
        <v>18657874.298271917</v>
      </c>
      <c r="F26" s="18" t="s">
        <v>2</v>
      </c>
      <c r="G26" s="1"/>
    </row>
    <row r="27" spans="1:7" ht="15" customHeight="1" x14ac:dyDescent="0.25">
      <c r="A27" s="1"/>
      <c r="B27" s="39" t="s">
        <v>49</v>
      </c>
      <c r="C27" s="40"/>
      <c r="D27" s="40"/>
      <c r="E27" s="40"/>
      <c r="F27" s="41"/>
      <c r="G27" s="1"/>
    </row>
    <row r="28" spans="1:7" ht="15" customHeight="1" x14ac:dyDescent="0.25">
      <c r="A28" s="1"/>
      <c r="B28" s="42" t="s">
        <v>80</v>
      </c>
      <c r="C28" s="7">
        <v>0</v>
      </c>
      <c r="D28" s="8" t="s">
        <v>2</v>
      </c>
      <c r="E28" s="33"/>
      <c r="F28" s="13"/>
      <c r="G28" s="1"/>
    </row>
    <row r="29" spans="1:7" ht="15" customHeight="1" x14ac:dyDescent="0.25">
      <c r="A29" s="1"/>
      <c r="B29" s="42" t="s">
        <v>50</v>
      </c>
      <c r="C29" s="7">
        <v>0</v>
      </c>
      <c r="D29" s="8" t="s">
        <v>2</v>
      </c>
      <c r="E29" s="32"/>
      <c r="F29" s="13"/>
      <c r="G29" s="1"/>
    </row>
    <row r="30" spans="1:7" ht="28.5" customHeight="1" x14ac:dyDescent="0.25">
      <c r="A30" s="1"/>
      <c r="B30" s="43" t="s">
        <v>51</v>
      </c>
      <c r="C30" s="7">
        <v>50457.592525153239</v>
      </c>
      <c r="D30" s="8" t="s">
        <v>2</v>
      </c>
      <c r="E30" s="32"/>
      <c r="F30" s="13"/>
      <c r="G30" s="1"/>
    </row>
    <row r="31" spans="1:7" ht="15" customHeight="1" x14ac:dyDescent="0.25">
      <c r="A31" s="1"/>
      <c r="B31" s="44" t="s">
        <v>52</v>
      </c>
      <c r="C31" s="17">
        <f>SUM(C28:C30)</f>
        <v>50457.592525153239</v>
      </c>
      <c r="D31" s="18" t="s">
        <v>2</v>
      </c>
      <c r="E31" s="17">
        <f>C31</f>
        <v>50457.592525153239</v>
      </c>
      <c r="F31" s="18" t="s">
        <v>2</v>
      </c>
      <c r="G31" s="1"/>
    </row>
    <row r="32" spans="1:7" x14ac:dyDescent="0.25">
      <c r="A32" s="1"/>
      <c r="B32" s="39" t="s">
        <v>15</v>
      </c>
      <c r="C32" s="40"/>
      <c r="D32" s="40"/>
      <c r="E32" s="40"/>
      <c r="F32" s="41"/>
      <c r="G32" s="1"/>
    </row>
    <row r="33" spans="1:7" ht="15" customHeight="1" x14ac:dyDescent="0.25">
      <c r="A33" s="1"/>
      <c r="B33" s="44" t="s">
        <v>23</v>
      </c>
      <c r="C33" s="17">
        <f>'Fane 6. Hist. over el. underdæk'!G14</f>
        <v>0</v>
      </c>
      <c r="D33" s="18" t="s">
        <v>2</v>
      </c>
      <c r="E33" s="17">
        <f>C33</f>
        <v>0</v>
      </c>
      <c r="F33" s="18" t="s">
        <v>2</v>
      </c>
      <c r="G33" s="1"/>
    </row>
    <row r="34" spans="1:7" x14ac:dyDescent="0.25">
      <c r="A34" s="1"/>
      <c r="B34" s="39" t="s">
        <v>32</v>
      </c>
      <c r="C34" s="40"/>
      <c r="D34" s="41"/>
      <c r="E34" s="20">
        <f>SUM(E18,E22,E26,E31,E33)</f>
        <v>260037263.85057139</v>
      </c>
      <c r="F34" s="21" t="s">
        <v>2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41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90" t="s">
        <v>42</v>
      </c>
      <c r="C5" s="90"/>
      <c r="D5" s="90"/>
      <c r="E5" s="90"/>
      <c r="F5" s="90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1" t="s">
        <v>24</v>
      </c>
      <c r="C8" s="92"/>
      <c r="D8" s="92"/>
      <c r="E8" s="92"/>
      <c r="F8" s="93"/>
      <c r="G8" s="1"/>
    </row>
    <row r="9" spans="1:7" ht="15" customHeight="1" x14ac:dyDescent="0.25">
      <c r="A9" s="1"/>
      <c r="B9" s="42" t="s">
        <v>54</v>
      </c>
      <c r="C9" s="7">
        <f>'Fane 2.1. Økonomisk ramme 2019'!E18</f>
        <v>240375817.32963333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3" t="s">
        <v>36</v>
      </c>
      <c r="C10" s="11">
        <f>SUM(C9:C9)*Prisudvikling2019</f>
        <v>4062351.3128708028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3" t="s">
        <v>13</v>
      </c>
      <c r="C11" s="11">
        <f>-SUM(C9:C10)*IndividueltKrav</f>
        <v>-1106409.7914434271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3" t="s">
        <v>60</v>
      </c>
      <c r="C12" s="11">
        <f>('Fane 2.1. Økonomisk ramme 2019'!C16/GenereltKravDrift2018-'Fane 2.1. Økonomisk ramme 2019'!C16)*(1+Prisudvikling2019)*GenereltKravDrift2019</f>
        <v>-1791310.9715929385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3" t="s">
        <v>61</v>
      </c>
      <c r="C13" s="11">
        <f>(('Fane 2.1. Økonomisk ramme 2019'!C17/GenereltKravAnlæg2018-'Fane 2.1. Økonomisk ramme 2019'!C17)*(1+Prisudvikling2019)*GenereltKravAnlæg2019)</f>
        <v>-1353702.2902852059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4" t="s">
        <v>39</v>
      </c>
      <c r="C14" s="17">
        <f>SUM(C9:C13)</f>
        <v>240186745.58918256</v>
      </c>
      <c r="D14" s="18" t="s">
        <v>2</v>
      </c>
      <c r="E14" s="17">
        <f>C14</f>
        <v>240186745.58918256</v>
      </c>
      <c r="F14" s="18" t="s">
        <v>2</v>
      </c>
      <c r="G14" s="1"/>
    </row>
    <row r="15" spans="1:7" ht="15" customHeight="1" x14ac:dyDescent="0.25">
      <c r="A15" s="1"/>
      <c r="B15" s="91" t="s">
        <v>73</v>
      </c>
      <c r="C15" s="92"/>
      <c r="D15" s="92"/>
      <c r="E15" s="92"/>
      <c r="F15" s="93"/>
      <c r="G15" s="1"/>
    </row>
    <row r="16" spans="1:7" ht="15" customHeight="1" x14ac:dyDescent="0.25">
      <c r="A16" s="1"/>
      <c r="B16" s="43" t="s">
        <v>141</v>
      </c>
      <c r="C16" s="11">
        <v>1027459.1894111198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3" t="s">
        <v>75</v>
      </c>
      <c r="C17" s="11">
        <f>-(C16*(GenereltKravDrift2019+IndividueltKrav))</f>
        <v>-25199.811445049469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76</v>
      </c>
      <c r="C18" s="17">
        <f>SUM(C16:C17)</f>
        <v>1002259.3779660703</v>
      </c>
      <c r="D18" s="18" t="s">
        <v>2</v>
      </c>
      <c r="E18" s="17">
        <f>C18</f>
        <v>1002259.3779660703</v>
      </c>
      <c r="F18" s="18" t="s">
        <v>2</v>
      </c>
      <c r="G18" s="1"/>
    </row>
    <row r="19" spans="1:7" x14ac:dyDescent="0.25">
      <c r="A19" s="1"/>
      <c r="B19" s="91" t="s">
        <v>21</v>
      </c>
      <c r="C19" s="92"/>
      <c r="D19" s="92"/>
      <c r="E19" s="92"/>
      <c r="F19" s="93"/>
      <c r="G19" s="1"/>
    </row>
    <row r="20" spans="1:7" ht="15" customHeight="1" x14ac:dyDescent="0.25">
      <c r="A20" s="1"/>
      <c r="B20" s="43" t="s">
        <v>21</v>
      </c>
      <c r="C20" s="11">
        <f>'Fane 4. Ikke-påvirkelige omk.'!E18*(1+Prisudvikling2019)</f>
        <v>18973192.373912711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3" t="s">
        <v>78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79</v>
      </c>
      <c r="C22" s="17">
        <f>SUM(C20:C21)</f>
        <v>18973192.373912711</v>
      </c>
      <c r="D22" s="18" t="s">
        <v>2</v>
      </c>
      <c r="E22" s="17">
        <f>C22</f>
        <v>18973192.373912711</v>
      </c>
      <c r="F22" s="18" t="s">
        <v>2</v>
      </c>
      <c r="G22" s="1"/>
    </row>
    <row r="23" spans="1:7" x14ac:dyDescent="0.25">
      <c r="A23" s="1"/>
      <c r="B23" s="91" t="s">
        <v>15</v>
      </c>
      <c r="C23" s="92"/>
      <c r="D23" s="92"/>
      <c r="E23" s="92"/>
      <c r="F23" s="93"/>
      <c r="G23" s="1"/>
    </row>
    <row r="24" spans="1:7" ht="15" customHeight="1" x14ac:dyDescent="0.25">
      <c r="A24" s="1"/>
      <c r="B24" s="29" t="s">
        <v>23</v>
      </c>
      <c r="C24" s="17">
        <f>IF('Fane 6. Hist. over el. underdæk'!G13&gt;1,'Fane 6. Hist. over el. underdæk'!G14,0)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91" t="s">
        <v>115</v>
      </c>
      <c r="C25" s="92"/>
      <c r="D25" s="92"/>
      <c r="E25" s="92"/>
      <c r="F25" s="93"/>
      <c r="G25" s="1"/>
    </row>
    <row r="26" spans="1:7" ht="15" customHeight="1" x14ac:dyDescent="0.25">
      <c r="A26" s="1"/>
      <c r="B26" s="29" t="s">
        <v>107</v>
      </c>
      <c r="C26" s="17">
        <f>'Fane 7. Kontrol af ØR2017'!G22</f>
        <v>-9019271.6710538659</v>
      </c>
      <c r="D26" s="18" t="s">
        <v>2</v>
      </c>
      <c r="E26" s="17">
        <f>C26</f>
        <v>-9019271.6710538659</v>
      </c>
      <c r="F26" s="18" t="s">
        <v>2</v>
      </c>
      <c r="G26" s="1"/>
    </row>
    <row r="27" spans="1:7" x14ac:dyDescent="0.25">
      <c r="A27" s="1"/>
      <c r="B27" s="39" t="s">
        <v>55</v>
      </c>
      <c r="C27" s="40"/>
      <c r="D27" s="41"/>
      <c r="E27" s="20">
        <f>SUM(E14,E18,E22,E24,E26)</f>
        <v>251142925.6700075</v>
      </c>
      <c r="F27" s="21" t="s">
        <v>2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7">
    <mergeCell ref="B3:F4"/>
    <mergeCell ref="B5:F5"/>
    <mergeCell ref="B25:F25"/>
    <mergeCell ref="B23:F23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90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90" t="s">
        <v>42</v>
      </c>
      <c r="C5" s="90"/>
      <c r="D5" s="90"/>
      <c r="E5" s="90"/>
      <c r="F5" s="90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24</v>
      </c>
      <c r="C8" s="40"/>
      <c r="D8" s="40"/>
      <c r="E8" s="40"/>
      <c r="F8" s="41"/>
      <c r="G8" s="1"/>
    </row>
    <row r="9" spans="1:7" ht="27.75" customHeight="1" x14ac:dyDescent="0.25">
      <c r="A9" s="1"/>
      <c r="B9" s="42" t="s">
        <v>56</v>
      </c>
      <c r="C9" s="7">
        <f>'Fane 2.2. Økonomisk ramme 2020'!E14</f>
        <v>240186745.58918256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3" t="s">
        <v>36</v>
      </c>
      <c r="C10" s="11">
        <f>C9*Prisudvikling2019</f>
        <v>4059156.0004571849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3" t="s">
        <v>13</v>
      </c>
      <c r="C11" s="11">
        <f>-SUM(C9:C10)*IndividueltKrav</f>
        <v>-1105539.5257601156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3" t="s">
        <v>60</v>
      </c>
      <c r="C12" s="11">
        <f>(('Fane 2.2. Økonomisk ramme 2020'!C12/GenereltKravDrift2019-'Fane 2.2. Økonomisk ramme 2020'!C12)*(1+Prisudvikling2019)*GenereltKravDrift2019)</f>
        <v>-1785152.4444726021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3" t="s">
        <v>61</v>
      </c>
      <c r="C13" s="11">
        <f>(('Fane 2.2. Økonomisk ramme 2020'!C13/GenereltKravAnlæg2019-'Fane 2.2. Økonomisk ramme 2020'!C13)*(1+Prisudvikling2019)*GenereltKravAnlæg2019)</f>
        <v>-1364603.614217804</v>
      </c>
      <c r="D13" s="8" t="s">
        <v>2</v>
      </c>
      <c r="E13" s="15"/>
      <c r="F13" s="16"/>
      <c r="G13" s="1"/>
    </row>
    <row r="14" spans="1:7" x14ac:dyDescent="0.25">
      <c r="A14" s="1"/>
      <c r="B14" s="44" t="s">
        <v>39</v>
      </c>
      <c r="C14" s="17">
        <f>SUM(C9:C13)</f>
        <v>239990606.00518921</v>
      </c>
      <c r="D14" s="18" t="s">
        <v>2</v>
      </c>
      <c r="E14" s="17">
        <f>C14</f>
        <v>239990606.00518921</v>
      </c>
      <c r="F14" s="18" t="s">
        <v>2</v>
      </c>
      <c r="G14" s="1"/>
    </row>
    <row r="15" spans="1:7" x14ac:dyDescent="0.25">
      <c r="A15" s="1"/>
      <c r="B15" s="39" t="s">
        <v>73</v>
      </c>
      <c r="C15" s="40"/>
      <c r="D15" s="40"/>
      <c r="E15" s="40"/>
      <c r="F15" s="41"/>
      <c r="G15" s="1"/>
    </row>
    <row r="16" spans="1:7" ht="15" customHeight="1" x14ac:dyDescent="0.25">
      <c r="A16" s="1"/>
      <c r="B16" s="43" t="s">
        <v>141</v>
      </c>
      <c r="C16" s="11">
        <v>1045439.8699977997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3" t="s">
        <v>75</v>
      </c>
      <c r="C17" s="11">
        <f>-(C16*(GenereltKravDrift2019+IndividueltKrav))</f>
        <v>-25640.811696064491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76</v>
      </c>
      <c r="C18" s="17">
        <f>SUM(C16:C17)</f>
        <v>1019799.0583017352</v>
      </c>
      <c r="D18" s="18" t="s">
        <v>2</v>
      </c>
      <c r="E18" s="17">
        <f>C18</f>
        <v>1019799.0583017352</v>
      </c>
      <c r="F18" s="18" t="s">
        <v>2</v>
      </c>
      <c r="G18" s="1"/>
    </row>
    <row r="19" spans="1:7" x14ac:dyDescent="0.25">
      <c r="A19" s="1"/>
      <c r="B19" s="39" t="s">
        <v>21</v>
      </c>
      <c r="C19" s="40"/>
      <c r="D19" s="40"/>
      <c r="E19" s="40"/>
      <c r="F19" s="41"/>
      <c r="G19" s="1"/>
    </row>
    <row r="20" spans="1:7" ht="15" customHeight="1" x14ac:dyDescent="0.25">
      <c r="A20" s="1"/>
      <c r="B20" s="43" t="s">
        <v>21</v>
      </c>
      <c r="C20" s="11">
        <f>'Fane 4. Ikke-påvirkelige omk.'!E18*(1+Prisudvikling2019)^2</f>
        <v>19293839.325031832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3" t="s">
        <v>78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79</v>
      </c>
      <c r="C22" s="17">
        <f>SUM(C20:C21)</f>
        <v>19293839.325031832</v>
      </c>
      <c r="D22" s="18" t="s">
        <v>2</v>
      </c>
      <c r="E22" s="17">
        <f>C22</f>
        <v>19293839.325031832</v>
      </c>
      <c r="F22" s="18" t="s">
        <v>2</v>
      </c>
      <c r="G22" s="1"/>
    </row>
    <row r="23" spans="1:7" ht="15" customHeight="1" x14ac:dyDescent="0.25">
      <c r="A23" s="1"/>
      <c r="B23" s="39" t="s">
        <v>115</v>
      </c>
      <c r="C23" s="40"/>
      <c r="D23" s="40"/>
      <c r="E23" s="40"/>
      <c r="F23" s="41"/>
      <c r="G23" s="1"/>
    </row>
    <row r="24" spans="1:7" ht="15" customHeight="1" x14ac:dyDescent="0.25">
      <c r="A24" s="1"/>
      <c r="B24" s="29" t="s">
        <v>107</v>
      </c>
      <c r="C24" s="17">
        <f>'Fane 2.2. Økonomisk ramme 2020'!C26*(1+Prisudvikling2019)</f>
        <v>-9171697.3622946758</v>
      </c>
      <c r="D24" s="18" t="s">
        <v>2</v>
      </c>
      <c r="E24" s="17">
        <f>C24</f>
        <v>-9171697.3622946758</v>
      </c>
      <c r="F24" s="18" t="s">
        <v>2</v>
      </c>
      <c r="G24" s="1"/>
    </row>
    <row r="25" spans="1:7" x14ac:dyDescent="0.25">
      <c r="A25" s="1"/>
      <c r="B25" s="39" t="s">
        <v>67</v>
      </c>
      <c r="C25" s="40"/>
      <c r="D25" s="41"/>
      <c r="E25" s="20">
        <f>SUM(E14,E18,E22,E24)</f>
        <v>251132547.02622813</v>
      </c>
      <c r="F25" s="21" t="s">
        <v>2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91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90" t="s">
        <v>42</v>
      </c>
      <c r="C5" s="90"/>
      <c r="D5" s="90"/>
      <c r="E5" s="90"/>
      <c r="F5" s="90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24</v>
      </c>
      <c r="C7" s="40"/>
      <c r="D7" s="40"/>
      <c r="E7" s="40"/>
      <c r="F7" s="41"/>
      <c r="G7" s="1"/>
    </row>
    <row r="8" spans="1:7" ht="27.75" customHeight="1" x14ac:dyDescent="0.25">
      <c r="A8" s="1"/>
      <c r="B8" s="42" t="s">
        <v>57</v>
      </c>
      <c r="C8" s="7">
        <f>'Fane 2.3. Økonomisk ramme 2021'!E14</f>
        <v>239990606.00518921</v>
      </c>
      <c r="D8" s="8" t="s">
        <v>2</v>
      </c>
      <c r="E8" s="9"/>
      <c r="F8" s="10"/>
      <c r="G8" s="1"/>
    </row>
    <row r="9" spans="1:7" ht="15" customHeight="1" x14ac:dyDescent="0.25">
      <c r="A9" s="1"/>
      <c r="B9" s="43" t="s">
        <v>36</v>
      </c>
      <c r="C9" s="11">
        <f>C8*Prisudvikling2019</f>
        <v>4055841.2414876972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3" t="s">
        <v>13</v>
      </c>
      <c r="C10" s="11">
        <f>-SUM(C8:C9)*IndividueltKrav</f>
        <v>-1104636.7279719242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3" t="s">
        <v>60</v>
      </c>
      <c r="C11" s="11">
        <f>('Fane 2.3. Økonomisk ramme 2021'!C12/GenereltKravDrift2019-'Fane 2.3. Økonomisk ramme 2021'!C12)*(1+Prisudvikling2019)*GenereltKravDrift2019</f>
        <v>-1779015.0903685051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3" t="s">
        <v>61</v>
      </c>
      <c r="C12" s="11">
        <f>('Fane 2.3. Økonomisk ramme 2021'!C13/GenereltKravAnlæg2019-'Fane 2.3. Økonomisk ramme 2021'!C13)*(1+Prisudvikling2019)*GenereltKravAnlæg2019</f>
        <v>-1375592.7261849914</v>
      </c>
      <c r="D12" s="8" t="s">
        <v>2</v>
      </c>
      <c r="E12" s="15"/>
      <c r="F12" s="16"/>
      <c r="G12" s="1"/>
    </row>
    <row r="13" spans="1:7" x14ac:dyDescent="0.25">
      <c r="A13" s="1"/>
      <c r="B13" s="44" t="s">
        <v>39</v>
      </c>
      <c r="C13" s="17">
        <f>SUM(C8:C12)</f>
        <v>239787202.70215151</v>
      </c>
      <c r="D13" s="18" t="s">
        <v>2</v>
      </c>
      <c r="E13" s="17">
        <f>C13</f>
        <v>239787202.70215151</v>
      </c>
      <c r="F13" s="18" t="s">
        <v>2</v>
      </c>
      <c r="G13" s="1"/>
    </row>
    <row r="14" spans="1:7" x14ac:dyDescent="0.25">
      <c r="A14" s="1"/>
      <c r="B14" s="39" t="s">
        <v>73</v>
      </c>
      <c r="C14" s="40"/>
      <c r="D14" s="40"/>
      <c r="E14" s="40"/>
      <c r="F14" s="41"/>
      <c r="G14" s="1"/>
    </row>
    <row r="15" spans="1:7" ht="15" customHeight="1" x14ac:dyDescent="0.25">
      <c r="A15" s="1"/>
      <c r="B15" s="43" t="s">
        <v>141</v>
      </c>
      <c r="C15" s="11">
        <v>1063734.9126099197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3" t="s">
        <v>75</v>
      </c>
      <c r="C16" s="11">
        <f>-(C15*(GenereltKravDrift2019+IndividueltKrav))</f>
        <v>-26089.522096395627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76</v>
      </c>
      <c r="C17" s="17">
        <f>SUM(C15:C16)</f>
        <v>1037645.3905135241</v>
      </c>
      <c r="D17" s="18" t="s">
        <v>2</v>
      </c>
      <c r="E17" s="17">
        <f>C17</f>
        <v>1037645.3905135241</v>
      </c>
      <c r="F17" s="18" t="s">
        <v>2</v>
      </c>
      <c r="G17" s="1"/>
    </row>
    <row r="18" spans="1:7" x14ac:dyDescent="0.25">
      <c r="A18" s="1"/>
      <c r="B18" s="39" t="s">
        <v>21</v>
      </c>
      <c r="C18" s="40"/>
      <c r="D18" s="40"/>
      <c r="E18" s="40"/>
      <c r="F18" s="41"/>
      <c r="G18" s="1"/>
    </row>
    <row r="19" spans="1:7" ht="15" customHeight="1" x14ac:dyDescent="0.25">
      <c r="A19" s="1"/>
      <c r="B19" s="43" t="s">
        <v>21</v>
      </c>
      <c r="C19" s="11">
        <f>'Fane 4. Ikke-påvirkelige omk.'!E18*(1+Prisudvikling2019)^3</f>
        <v>19619905.209624868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3" t="s">
        <v>78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29" t="s">
        <v>79</v>
      </c>
      <c r="C21" s="17">
        <f>SUM(C19:C20)</f>
        <v>19619905.209624868</v>
      </c>
      <c r="D21" s="18" t="s">
        <v>2</v>
      </c>
      <c r="E21" s="17">
        <f>C21</f>
        <v>19619905.209624868</v>
      </c>
      <c r="F21" s="18" t="s">
        <v>2</v>
      </c>
      <c r="G21" s="1"/>
    </row>
    <row r="22" spans="1:7" x14ac:dyDescent="0.25">
      <c r="A22" s="1"/>
      <c r="B22" s="39" t="s">
        <v>77</v>
      </c>
      <c r="C22" s="40"/>
      <c r="D22" s="41"/>
      <c r="E22" s="20">
        <f>SUM(E13,E17,E21)</f>
        <v>260444753.30228987</v>
      </c>
      <c r="F22" s="21" t="s">
        <v>2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4" t="s">
        <v>92</v>
      </c>
      <c r="C3" s="94"/>
      <c r="D3" s="94"/>
      <c r="E3" s="94"/>
      <c r="F3" s="94"/>
      <c r="G3" s="94"/>
      <c r="H3" s="94"/>
      <c r="I3" s="1"/>
    </row>
    <row r="4" spans="1:9" ht="29.25" customHeight="1" x14ac:dyDescent="0.25">
      <c r="A4" s="1"/>
      <c r="B4" s="94"/>
      <c r="C4" s="94"/>
      <c r="D4" s="94"/>
      <c r="E4" s="94"/>
      <c r="F4" s="94"/>
      <c r="G4" s="94"/>
      <c r="H4" s="9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48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5" t="s">
        <v>31</v>
      </c>
      <c r="C9" s="66"/>
      <c r="D9" s="66"/>
      <c r="E9" s="66"/>
      <c r="F9" s="67"/>
      <c r="G9" s="11">
        <v>250353503.07691342</v>
      </c>
      <c r="H9" s="22" t="s">
        <v>2</v>
      </c>
      <c r="I9" s="1"/>
    </row>
    <row r="10" spans="1:9" x14ac:dyDescent="0.25">
      <c r="A10" s="1"/>
      <c r="B10" s="47" t="s">
        <v>72</v>
      </c>
      <c r="C10" s="66"/>
      <c r="D10" s="66"/>
      <c r="E10" s="66"/>
      <c r="F10" s="67"/>
      <c r="G10" s="11">
        <v>936721.76598824654</v>
      </c>
      <c r="H10" s="22" t="s">
        <v>2</v>
      </c>
      <c r="I10" s="1"/>
    </row>
    <row r="11" spans="1:9" x14ac:dyDescent="0.25">
      <c r="A11" s="1"/>
      <c r="B11" s="47" t="s">
        <v>47</v>
      </c>
      <c r="C11" s="66"/>
      <c r="D11" s="66"/>
      <c r="E11" s="66"/>
      <c r="F11" s="67"/>
      <c r="G11" s="11">
        <v>11014812.584778983</v>
      </c>
      <c r="H11" s="22" t="s">
        <v>2</v>
      </c>
      <c r="I11" s="1"/>
    </row>
    <row r="12" spans="1:9" x14ac:dyDescent="0.25">
      <c r="A12" s="1"/>
      <c r="B12" s="47" t="s">
        <v>74</v>
      </c>
      <c r="C12" s="66"/>
      <c r="D12" s="66"/>
      <c r="E12" s="66"/>
      <c r="F12" s="67"/>
      <c r="G12" s="11">
        <v>960273.76500000001</v>
      </c>
      <c r="H12" s="22" t="s">
        <v>2</v>
      </c>
      <c r="I12" s="1"/>
    </row>
    <row r="13" spans="1:9" ht="26.25" customHeight="1" x14ac:dyDescent="0.25">
      <c r="A13" s="1"/>
      <c r="B13" s="48" t="s">
        <v>58</v>
      </c>
      <c r="C13" s="40"/>
      <c r="D13" s="40"/>
      <c r="E13" s="40"/>
      <c r="F13" s="41"/>
      <c r="G13" s="34">
        <f>G9-G10-G11</f>
        <v>238401968.72614616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3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9" t="s">
        <v>101</v>
      </c>
      <c r="C3" s="89"/>
      <c r="D3" s="89"/>
      <c r="E3" s="89"/>
      <c r="F3" s="89"/>
      <c r="G3" s="1"/>
      <c r="H3" s="1"/>
    </row>
    <row r="4" spans="1:8" ht="15" customHeight="1" x14ac:dyDescent="0.25">
      <c r="A4" s="1"/>
      <c r="B4" s="89"/>
      <c r="C4" s="89"/>
      <c r="D4" s="89"/>
      <c r="E4" s="89"/>
      <c r="F4" s="89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59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4" t="s">
        <v>110</v>
      </c>
      <c r="C9" s="30"/>
      <c r="D9" s="37"/>
      <c r="E9" s="49" t="s">
        <v>46</v>
      </c>
      <c r="F9" s="18"/>
      <c r="G9" s="1"/>
      <c r="H9" s="1"/>
    </row>
    <row r="10" spans="1:8" x14ac:dyDescent="0.25">
      <c r="A10" s="1"/>
      <c r="B10" s="95" t="s">
        <v>134</v>
      </c>
      <c r="C10" s="96"/>
      <c r="D10" s="97"/>
      <c r="E10" s="11">
        <v>4992236</v>
      </c>
      <c r="F10" s="22" t="s">
        <v>2</v>
      </c>
      <c r="G10" s="1"/>
      <c r="H10" s="1"/>
    </row>
    <row r="11" spans="1:8" x14ac:dyDescent="0.25">
      <c r="A11" s="1"/>
      <c r="B11" s="95" t="s">
        <v>135</v>
      </c>
      <c r="C11" s="96"/>
      <c r="D11" s="97"/>
      <c r="E11" s="11">
        <v>158298</v>
      </c>
      <c r="F11" s="22" t="s">
        <v>2</v>
      </c>
      <c r="G11" s="1"/>
      <c r="H11" s="1"/>
    </row>
    <row r="12" spans="1:8" x14ac:dyDescent="0.25">
      <c r="A12" s="1"/>
      <c r="B12" s="95" t="s">
        <v>136</v>
      </c>
      <c r="C12" s="96"/>
      <c r="D12" s="97"/>
      <c r="E12" s="11">
        <v>921362</v>
      </c>
      <c r="F12" s="22" t="s">
        <v>2</v>
      </c>
      <c r="G12" s="1"/>
      <c r="H12" s="1"/>
    </row>
    <row r="13" spans="1:8" x14ac:dyDescent="0.25">
      <c r="A13" s="1"/>
      <c r="B13" s="95" t="s">
        <v>137</v>
      </c>
      <c r="C13" s="96"/>
      <c r="D13" s="97"/>
      <c r="E13" s="11">
        <v>467555</v>
      </c>
      <c r="F13" s="22" t="s">
        <v>2</v>
      </c>
      <c r="G13" s="1"/>
      <c r="H13" s="1"/>
    </row>
    <row r="14" spans="1:8" x14ac:dyDescent="0.25">
      <c r="A14" s="1"/>
      <c r="B14" s="95" t="s">
        <v>138</v>
      </c>
      <c r="C14" s="96"/>
      <c r="D14" s="97"/>
      <c r="E14" s="11">
        <v>8807876</v>
      </c>
      <c r="F14" s="22" t="s">
        <v>2</v>
      </c>
      <c r="G14" s="1"/>
      <c r="H14" s="1"/>
    </row>
    <row r="15" spans="1:8" x14ac:dyDescent="0.25">
      <c r="A15" s="1"/>
      <c r="B15" s="95" t="s">
        <v>139</v>
      </c>
      <c r="C15" s="96"/>
      <c r="D15" s="97"/>
      <c r="E15" s="11">
        <v>2124451</v>
      </c>
      <c r="F15" s="22" t="s">
        <v>2</v>
      </c>
      <c r="G15" s="1"/>
      <c r="H15" s="1"/>
    </row>
    <row r="16" spans="1:8" x14ac:dyDescent="0.25">
      <c r="A16" s="1"/>
      <c r="B16" s="95" t="s">
        <v>140</v>
      </c>
      <c r="C16" s="96"/>
      <c r="D16" s="97"/>
      <c r="E16" s="11">
        <v>571094</v>
      </c>
      <c r="F16" s="22" t="s">
        <v>2</v>
      </c>
      <c r="G16" s="1"/>
      <c r="H16" s="1"/>
    </row>
    <row r="17" spans="1:8" x14ac:dyDescent="0.25">
      <c r="A17" s="1"/>
      <c r="B17" s="91" t="s">
        <v>127</v>
      </c>
      <c r="C17" s="92"/>
      <c r="D17" s="93"/>
      <c r="E17" s="20">
        <f>SUM(E10:E16)</f>
        <v>18042872</v>
      </c>
      <c r="F17" s="21" t="s">
        <v>2</v>
      </c>
      <c r="G17" s="1"/>
      <c r="H17" s="1"/>
    </row>
    <row r="18" spans="1:8" x14ac:dyDescent="0.25">
      <c r="A18" s="1"/>
      <c r="B18" s="91" t="s">
        <v>128</v>
      </c>
      <c r="C18" s="92"/>
      <c r="D18" s="93"/>
      <c r="E18" s="20">
        <f>E17*(1+Prisudvikling2019)^2</f>
        <v>18657874.298271917</v>
      </c>
      <c r="F18" s="21" t="s">
        <v>2</v>
      </c>
      <c r="G18" s="1"/>
      <c r="H18" s="1"/>
    </row>
    <row r="19" spans="1:8" x14ac:dyDescent="0.25">
      <c r="A19" s="1"/>
      <c r="B19" s="24"/>
      <c r="C19" s="23"/>
      <c r="D19" s="23"/>
      <c r="E19" s="23"/>
      <c r="F19" s="23"/>
      <c r="G19" s="1"/>
      <c r="H19" s="1"/>
    </row>
    <row r="20" spans="1:8" x14ac:dyDescent="0.25">
      <c r="A20" s="1"/>
      <c r="B20" s="23"/>
      <c r="C20" s="23"/>
      <c r="D20" s="23"/>
      <c r="E20" s="23"/>
      <c r="F20" s="23"/>
      <c r="G20" s="1"/>
      <c r="H20" s="1"/>
    </row>
    <row r="21" spans="1:8" x14ac:dyDescent="0.25">
      <c r="A21" s="1"/>
      <c r="B21" s="1"/>
      <c r="C21" s="1"/>
      <c r="D21" s="1"/>
      <c r="E21" s="23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</row>
  </sheetData>
  <sheetProtection password="DFE9" sheet="1" objects="1" scenarios="1"/>
  <mergeCells count="10">
    <mergeCell ref="B3:F4"/>
    <mergeCell ref="B17:D17"/>
    <mergeCell ref="B18:D18"/>
    <mergeCell ref="B10:D10"/>
    <mergeCell ref="B15:D15"/>
    <mergeCell ref="B16:D16"/>
    <mergeCell ref="B14:D14"/>
    <mergeCell ref="B13:D13"/>
    <mergeCell ref="B12:D12"/>
    <mergeCell ref="B11:D11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119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5" t="s">
        <v>81</v>
      </c>
      <c r="C9" s="66"/>
      <c r="D9" s="66"/>
      <c r="E9" s="66"/>
      <c r="F9" s="67"/>
      <c r="G9" s="53">
        <v>1819290.7080425681</v>
      </c>
      <c r="H9" s="22" t="s">
        <v>2</v>
      </c>
      <c r="I9" s="1"/>
    </row>
    <row r="10" spans="1:9" x14ac:dyDescent="0.25">
      <c r="A10" s="1"/>
      <c r="B10" s="65" t="s">
        <v>82</v>
      </c>
      <c r="C10" s="66"/>
      <c r="D10" s="66"/>
      <c r="E10" s="66"/>
      <c r="F10" s="67"/>
      <c r="G10" s="53">
        <f>G9/GenereltKravDrift2018</f>
        <v>90964535.402128398</v>
      </c>
      <c r="H10" s="22" t="s">
        <v>2</v>
      </c>
      <c r="I10" s="1"/>
    </row>
    <row r="11" spans="1:9" x14ac:dyDescent="0.25">
      <c r="A11" s="1"/>
      <c r="B11" s="65" t="s">
        <v>83</v>
      </c>
      <c r="C11" s="66"/>
      <c r="D11" s="66"/>
      <c r="E11" s="66"/>
      <c r="F11" s="67"/>
      <c r="G11" s="53">
        <v>2729589.0168301379</v>
      </c>
      <c r="H11" s="22" t="s">
        <v>2</v>
      </c>
      <c r="I11" s="1"/>
    </row>
    <row r="12" spans="1:9" x14ac:dyDescent="0.25">
      <c r="A12" s="1"/>
      <c r="B12" s="65" t="s">
        <v>84</v>
      </c>
      <c r="C12" s="66"/>
      <c r="D12" s="66"/>
      <c r="E12" s="66"/>
      <c r="F12" s="67"/>
      <c r="G12" s="53">
        <f>G11/GenereltKravAnlæg2018</f>
        <v>154214068.7474654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66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8" t="s">
        <v>86</v>
      </c>
      <c r="C17" s="99"/>
      <c r="D17" s="99"/>
      <c r="E17" s="99"/>
      <c r="F17" s="100"/>
      <c r="G17" s="54">
        <v>0.02</v>
      </c>
      <c r="H17" s="22"/>
      <c r="I17" s="1"/>
    </row>
    <row r="18" spans="1:9" x14ac:dyDescent="0.25">
      <c r="A18" s="1"/>
      <c r="B18" s="98" t="s">
        <v>85</v>
      </c>
      <c r="C18" s="99"/>
      <c r="D18" s="99"/>
      <c r="E18" s="99"/>
      <c r="F18" s="100"/>
      <c r="G18" s="54">
        <v>0.02</v>
      </c>
      <c r="H18" s="22"/>
      <c r="I18" s="1"/>
    </row>
    <row r="19" spans="1:9" x14ac:dyDescent="0.25">
      <c r="A19" s="1"/>
      <c r="B19" s="98" t="s">
        <v>87</v>
      </c>
      <c r="C19" s="99"/>
      <c r="D19" s="99"/>
      <c r="E19" s="99"/>
      <c r="F19" s="100"/>
      <c r="G19" s="54">
        <v>1.77E-2</v>
      </c>
      <c r="H19" s="22"/>
      <c r="I19" s="1"/>
    </row>
    <row r="20" spans="1:9" x14ac:dyDescent="0.25">
      <c r="A20" s="1"/>
      <c r="B20" s="98" t="s">
        <v>131</v>
      </c>
      <c r="C20" s="99"/>
      <c r="D20" s="99"/>
      <c r="E20" s="99"/>
      <c r="F20" s="100"/>
      <c r="G20" s="54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124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22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5" t="s">
        <v>152</v>
      </c>
      <c r="C9" s="66"/>
      <c r="D9" s="66"/>
      <c r="E9" s="66"/>
      <c r="F9" s="67"/>
      <c r="G9" s="11">
        <v>-2766133</v>
      </c>
      <c r="H9" s="22" t="s">
        <v>2</v>
      </c>
      <c r="I9" s="1"/>
    </row>
    <row r="10" spans="1:9" x14ac:dyDescent="0.25">
      <c r="A10" s="1"/>
      <c r="B10" s="65" t="s">
        <v>153</v>
      </c>
      <c r="C10" s="66"/>
      <c r="D10" s="66"/>
      <c r="E10" s="66"/>
      <c r="F10" s="67"/>
      <c r="G10" s="11">
        <v>-79708462</v>
      </c>
      <c r="H10" s="22" t="s">
        <v>2</v>
      </c>
      <c r="I10" s="1"/>
    </row>
    <row r="11" spans="1:9" x14ac:dyDescent="0.25">
      <c r="A11" s="1"/>
      <c r="B11" s="65" t="s">
        <v>45</v>
      </c>
      <c r="C11" s="66"/>
      <c r="D11" s="66"/>
      <c r="E11" s="66"/>
      <c r="F11" s="67"/>
      <c r="G11" s="11">
        <v>-82474595</v>
      </c>
      <c r="H11" s="22" t="s">
        <v>2</v>
      </c>
      <c r="I11" s="1"/>
    </row>
    <row r="12" spans="1:9" x14ac:dyDescent="0.25">
      <c r="A12" s="1"/>
      <c r="B12" s="50" t="s">
        <v>19</v>
      </c>
      <c r="C12" s="51"/>
      <c r="D12" s="51"/>
      <c r="E12" s="51"/>
      <c r="F12" s="52"/>
      <c r="G12" s="31">
        <f>G9+G10-G11</f>
        <v>0</v>
      </c>
      <c r="H12" s="26" t="s">
        <v>2</v>
      </c>
      <c r="I12" s="1"/>
    </row>
    <row r="13" spans="1:9" x14ac:dyDescent="0.25">
      <c r="A13" s="1"/>
      <c r="B13" s="65" t="s">
        <v>17</v>
      </c>
      <c r="C13" s="66"/>
      <c r="D13" s="66"/>
      <c r="E13" s="66"/>
      <c r="F13" s="67"/>
      <c r="G13" s="11">
        <v>0</v>
      </c>
      <c r="H13" s="22" t="s">
        <v>37</v>
      </c>
      <c r="I13" s="1"/>
    </row>
    <row r="14" spans="1:9" x14ac:dyDescent="0.25">
      <c r="A14" s="1"/>
      <c r="B14" s="39" t="s">
        <v>16</v>
      </c>
      <c r="C14" s="40"/>
      <c r="D14" s="40"/>
      <c r="E14" s="40"/>
      <c r="F14" s="41"/>
      <c r="G14" s="20">
        <f>IF(G13 = 0,0,G12/G13)</f>
        <v>0</v>
      </c>
      <c r="H14" s="21" t="s">
        <v>2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2018-10-12T14:15:56Z</dcterms:modified>
</cp:coreProperties>
</file>