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4" i="19"/>
  <c r="E15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<sst xmlns="http://schemas.openxmlformats.org/spreadsheetml/2006/main" count="360" uniqueCount="159">
  <si>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</si>
  <si>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</si>
  <si>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</si>
  <si>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</si>
  <si>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</si>
  <si>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</si>
  <si>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</si>
  <si>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</si>
  <si>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</si>
  <si>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</si>
  <si>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</si>
  <si>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</si>
  <si>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</si>
  <si>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</si>
  <si>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</si>
  <si>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</si>
  <si>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</si>
  <si>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</si>
  <si>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</si>
  <si>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</si>
  <si>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</si>
  <si>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</si>
  <si>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</si>
  <si>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</si>
  <si>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</si>
  <si>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</si>
  <si>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</si>
  <si>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</si>
  <si>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</si>
  <si>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</si>
  <si>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</si>
  <si>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</si>
  <si>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</si>
  <si>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</si>
  <si>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</si>
  <si>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</si>
  <si>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</si>
  <si>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</si>
  <si>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</si>
  <si>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</si>
  <si>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</si>
  <si>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</si>
  <si>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</si>
  <si>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</si>
  <si>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</si>
  <si>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</si>
  <si>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</si>
  <si>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</si>
  <si>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</si>
  <si>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</si>
  <si>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</si>
  <si>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</si>
  <si>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</si>
  <si>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</si>
  <si>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</si>
  <si>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</si>
  <si>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</si>
  <si>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</si>
  <si>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</si>
  <si>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</si>
  <si>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</si>
  <si>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</si>
  <si>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</si>
  <si>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</si>
  <si>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</si>
  <si>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</si>
  <si>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</si>
  <si>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</si>
  <si>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</si>
  <si>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</si>
  <si>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</si>
  <si>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</si>
  <si>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</si>
  <si>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</si>
  <si>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</si>
  <si>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</si>
  <si>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</si>
  <si>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</si>
  <si>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</si>
  <si>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</si>
  <si>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</si>
  <si>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</si>
  <si>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</si>
  <si>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</si>
  <si>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</si>
  <si>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</si>
  <si>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</si>
  <si>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</si>
  <si>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</si>
  <si>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</si>
  <si>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</si>
  <si>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</si>
  <si>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</si>
  <si>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</si>
  <si>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</si>
  <si>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</si>
  <si>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</si>
  <si>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</si>
  <si>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</si>
  <si>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</si>
  <si>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</si>
  <si>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</si>
  <si>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</si>
  <si>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</si>
  <si>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</si>
  <si>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</si>
  <si>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</si>
  <si>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</si>
  <si>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</si>
  <si>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</si>
  <si>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</si>
  <si>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</si>
  <si>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</si>
  <si>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</si>
  <si>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</si>
  <si>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</si>
  <si>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</si>
  <si>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</si>
  <si>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</si>
  <si>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</si>
  <si>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</si>
  <si>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</si>
  <si>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</si>
  <si>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</si>
  <si>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</si>
  <si>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</si>
  <si>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</si>
  <si>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</si>
  <si>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</si>
  <si>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</si>
  <si>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</si>
  <si>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</si>
  <si>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</si>
  <si>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</si>
  <si>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</si>
  <si>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</si>
  <si>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</si>
  <si>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</si>
  <si>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</si>
  <si>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</si>
  <si>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</si>
  <si>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</si>
  <si>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</si>
  <si>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</si>
  <si>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</si>
  <si>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</si>
  <si>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</si>
  <si>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</si>
  <si>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</si>
  <si>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</si>
  <si>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</si>
  <si>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</si>
  <si>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Erstatninger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</si>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</sst>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protection locked="0"/>
    </xf>
    <xf numFmtId="0" fontId="8" fillId="9" borderId="3" xfId="0" applyFont="1" applyFill="1" applyBorder="1" applyAlignment="1" applyProtection="1">
      <protection locked="0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3" fontId="8" fillId="9" borderId="1" xfId="0" applyNumberFormat="1" applyFont="1" applyFill="1" applyBorder="1" applyAlignment="1" applyProtection="1">
      <alignment wrapText="1"/>
      <protection locked="0"/>
    </xf>
    <xf numFmtId="0" fontId="8" fillId="9" borderId="2" xfId="0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103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5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1" t="s">
        <v>32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31</v>
      </c>
      <c r="D14" s="81" t="s">
        <v>96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94</v>
      </c>
      <c r="D15" s="81" t="s">
        <v>97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95</v>
      </c>
      <c r="D16" s="81" t="s">
        <v>132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7</v>
      </c>
      <c r="D17" s="75" t="s">
        <v>98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8</v>
      </c>
      <c r="D18" s="75" t="s">
        <v>100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9</v>
      </c>
      <c r="D19" s="75" t="s">
        <v>99</v>
      </c>
      <c r="E19" s="76"/>
      <c r="F19" s="76"/>
      <c r="G19" s="77"/>
      <c r="H19" s="1"/>
      <c r="I19" s="1"/>
    </row>
    <row r="20" spans="1:9" x14ac:dyDescent="0.25">
      <c r="A20" s="1"/>
      <c r="B20" s="1"/>
      <c r="C20" s="6" t="s">
        <v>10</v>
      </c>
      <c r="D20" s="78" t="s">
        <v>129</v>
      </c>
      <c r="E20" s="79"/>
      <c r="F20" s="79"/>
      <c r="G20" s="80"/>
      <c r="H20" s="1"/>
      <c r="I20" s="1"/>
    </row>
    <row r="21" spans="1:9" x14ac:dyDescent="0.25">
      <c r="A21" s="1"/>
      <c r="B21" s="1"/>
      <c r="C21" s="6" t="s">
        <v>11</v>
      </c>
      <c r="D21" s="70" t="s">
        <v>101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12</v>
      </c>
      <c r="D22" s="70" t="s">
        <v>130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13</v>
      </c>
      <c r="D23" s="70" t="s">
        <v>104</v>
      </c>
      <c r="E23" s="71"/>
      <c r="F23" s="71"/>
      <c r="G23" s="72"/>
      <c r="H23" s="1"/>
      <c r="I23" s="1"/>
    </row>
    <row r="24" spans="1:9" x14ac:dyDescent="0.25">
      <c r="A24" s="1"/>
      <c r="B24" s="1"/>
      <c r="C24" s="6" t="s">
        <v>25</v>
      </c>
      <c r="D24" s="87" t="s">
        <v>28</v>
      </c>
      <c r="E24" s="88"/>
      <c r="F24" s="88"/>
      <c r="G24" s="89"/>
      <c r="H24" s="1"/>
      <c r="I24" s="1"/>
    </row>
    <row r="25" spans="1:9" x14ac:dyDescent="0.25">
      <c r="A25" s="1"/>
      <c r="B25" s="1"/>
      <c r="C25" s="6" t="s">
        <v>29</v>
      </c>
      <c r="D25" s="84" t="s">
        <v>102</v>
      </c>
      <c r="E25" s="85"/>
      <c r="F25" s="85"/>
      <c r="G25" s="86"/>
      <c r="H25" s="1"/>
      <c r="I25" s="1"/>
    </row>
    <row r="26" spans="1:9" x14ac:dyDescent="0.25">
      <c r="A26" s="1"/>
      <c r="B26" s="1"/>
      <c r="C26" s="6" t="s">
        <v>30</v>
      </c>
      <c r="D26" s="84" t="s">
        <v>65</v>
      </c>
      <c r="E26" s="85"/>
      <c r="F26" s="85"/>
      <c r="G26" s="86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134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22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17</v>
      </c>
      <c r="C9" s="50"/>
      <c r="D9" s="50"/>
      <c r="E9" s="50"/>
      <c r="F9" s="51"/>
      <c r="G9" s="25">
        <v>-5597764</v>
      </c>
      <c r="H9" s="22" t="s">
        <v>3</v>
      </c>
      <c r="I9" s="1"/>
    </row>
    <row r="10" spans="1:9" x14ac:dyDescent="0.25">
      <c r="A10" s="1"/>
      <c r="B10" s="49" t="s">
        <v>55</v>
      </c>
      <c r="C10" s="50"/>
      <c r="D10" s="50"/>
      <c r="E10" s="50"/>
      <c r="F10" s="51"/>
      <c r="G10" s="25">
        <v>-4541549</v>
      </c>
      <c r="H10" s="22" t="s">
        <v>3</v>
      </c>
      <c r="I10" s="1"/>
    </row>
    <row r="11" spans="1:9" x14ac:dyDescent="0.25">
      <c r="A11" s="1"/>
      <c r="B11" s="57" t="s">
        <v>19</v>
      </c>
      <c r="C11" s="58"/>
      <c r="D11" s="58"/>
      <c r="E11" s="58"/>
      <c r="F11" s="59"/>
      <c r="G11" s="35">
        <f>G9-G10</f>
        <v>-1056215</v>
      </c>
      <c r="H11" s="29" t="s">
        <v>3</v>
      </c>
      <c r="I11" s="1"/>
    </row>
    <row r="12" spans="1:9" x14ac:dyDescent="0.25">
      <c r="A12" s="1"/>
      <c r="B12" s="49" t="s">
        <v>18</v>
      </c>
      <c r="C12" s="50"/>
      <c r="D12" s="50"/>
      <c r="E12" s="50"/>
      <c r="F12" s="51"/>
      <c r="G12" s="25">
        <v>2</v>
      </c>
      <c r="H12" s="22" t="s">
        <v>42</v>
      </c>
      <c r="I12" s="1"/>
    </row>
    <row r="13" spans="1:9" x14ac:dyDescent="0.25">
      <c r="A13" s="1"/>
      <c r="B13" s="42" t="s">
        <v>16</v>
      </c>
      <c r="C13" s="43"/>
      <c r="D13" s="43"/>
      <c r="E13" s="43"/>
      <c r="F13" s="44"/>
      <c r="G13" s="20">
        <f>IF(G12 = 0,0,G11/G12)</f>
        <v>-528107.5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135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112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105</v>
      </c>
      <c r="C9" s="100"/>
      <c r="D9" s="101"/>
      <c r="E9" s="25">
        <v>11900521.405999999</v>
      </c>
      <c r="F9" s="22" t="s">
        <v>3</v>
      </c>
      <c r="G9" s="19"/>
      <c r="H9" s="30"/>
      <c r="I9" s="1"/>
    </row>
    <row r="10" spans="1:9" x14ac:dyDescent="0.25">
      <c r="A10" s="1"/>
      <c r="B10" s="99" t="s">
        <v>106</v>
      </c>
      <c r="C10" s="100"/>
      <c r="D10" s="101"/>
      <c r="E10" s="25">
        <v>10153286</v>
      </c>
      <c r="F10" s="22" t="s">
        <v>3</v>
      </c>
      <c r="G10" s="14"/>
      <c r="H10" s="31"/>
      <c r="I10" s="1"/>
    </row>
    <row r="11" spans="1:9" x14ac:dyDescent="0.25">
      <c r="A11" s="1"/>
      <c r="B11" s="99" t="s">
        <v>113</v>
      </c>
      <c r="C11" s="100"/>
      <c r="D11" s="101"/>
      <c r="E11" s="25">
        <v>0</v>
      </c>
      <c r="F11" s="22" t="s">
        <v>3</v>
      </c>
      <c r="G11" s="14"/>
      <c r="H11" s="31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1747235.4059999995</v>
      </c>
      <c r="F12" s="28" t="s">
        <v>3</v>
      </c>
      <c r="G12" s="17">
        <f>E12</f>
        <v>1747235.4059999995</v>
      </c>
      <c r="H12" s="28" t="s">
        <v>3</v>
      </c>
      <c r="I12" s="1"/>
    </row>
    <row r="13" spans="1:9" x14ac:dyDescent="0.25">
      <c r="A13" s="1"/>
      <c r="B13" s="42"/>
      <c r="C13" s="43"/>
      <c r="D13" s="43"/>
      <c r="E13" s="43"/>
      <c r="F13" s="43"/>
      <c r="G13" s="43"/>
      <c r="H13" s="44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117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31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31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31"/>
      <c r="I20" s="1"/>
    </row>
    <row r="21" spans="1:9" x14ac:dyDescent="0.25">
      <c r="A21" s="1"/>
      <c r="B21" s="96" t="s">
        <v>118</v>
      </c>
      <c r="C21" s="97"/>
      <c r="D21" s="97"/>
      <c r="E21" s="97"/>
      <c r="F21" s="98"/>
      <c r="G21" s="20">
        <f>E20</f>
        <v>0</v>
      </c>
      <c r="H21" s="21" t="s">
        <v>3</v>
      </c>
      <c r="I21" s="1"/>
    </row>
    <row r="22" spans="1:9" x14ac:dyDescent="0.25">
      <c r="A22" s="1"/>
      <c r="B22" s="96" t="s">
        <v>119</v>
      </c>
      <c r="C22" s="97"/>
      <c r="D22" s="97"/>
      <c r="E22" s="97"/>
      <c r="F22" s="98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5.42578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141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142</v>
      </c>
      <c r="C8" s="97"/>
      <c r="D8" s="97"/>
      <c r="E8" s="97"/>
      <c r="F8" s="97"/>
      <c r="G8" s="97"/>
      <c r="H8" s="98"/>
      <c r="I8" s="1"/>
    </row>
    <row r="9" spans="1:9" ht="39" customHeight="1" x14ac:dyDescent="0.25">
      <c r="A9" s="1"/>
      <c r="B9" s="41" t="s">
        <v>0</v>
      </c>
      <c r="C9" s="41" t="s">
        <v>1</v>
      </c>
      <c r="D9" s="41" t="s">
        <v>109</v>
      </c>
      <c r="E9" s="18" t="s">
        <v>2</v>
      </c>
      <c r="F9" s="18" t="s">
        <v>88</v>
      </c>
      <c r="G9" s="18" t="s">
        <v>89</v>
      </c>
      <c r="H9" s="40"/>
      <c r="I9" s="1"/>
    </row>
    <row r="10" spans="1:9" ht="15" customHeight="1" x14ac:dyDescent="0.25">
      <c r="A10" s="1"/>
      <c r="B10" s="34" t="s">
        <v>148</v>
      </c>
      <c r="C10" s="26"/>
      <c r="D10" s="25"/>
      <c r="E10" s="11"/>
      <c r="F10" s="25"/>
      <c r="G10" s="25"/>
      <c r="H10" s="22" t="s">
        <v>3</v>
      </c>
      <c r="I10" s="1"/>
    </row>
    <row r="11" spans="1:9" x14ac:dyDescent="0.25">
      <c r="A11" s="1"/>
      <c r="B11" s="96" t="s">
        <v>143</v>
      </c>
      <c r="C11" s="97"/>
      <c r="D11" s="98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93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44</v>
      </c>
      <c r="C8" s="43"/>
      <c r="D8" s="43"/>
      <c r="E8" s="43"/>
      <c r="F8" s="43"/>
      <c r="G8" s="44"/>
      <c r="H8" s="1"/>
    </row>
    <row r="9" spans="1:8" ht="15" customHeight="1" x14ac:dyDescent="0.25">
      <c r="A9" s="1"/>
      <c r="B9" s="32" t="s">
        <v>38</v>
      </c>
      <c r="C9" s="40"/>
      <c r="D9" s="32" t="s">
        <v>20</v>
      </c>
      <c r="E9" s="40"/>
      <c r="F9" s="32" t="s">
        <v>110</v>
      </c>
      <c r="G9" s="40"/>
      <c r="H9" s="1"/>
    </row>
    <row r="10" spans="1:8" x14ac:dyDescent="0.25">
      <c r="A10" s="1"/>
      <c r="B10" s="62" t="s">
        <v>142</v>
      </c>
      <c r="C10" s="63"/>
      <c r="D10" s="64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42" t="s">
        <v>146</v>
      </c>
      <c r="C11" s="44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2" t="s">
        <v>147</v>
      </c>
      <c r="C12" s="44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157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39</v>
      </c>
      <c r="C8" s="43"/>
      <c r="D8" s="43"/>
      <c r="E8" s="43"/>
      <c r="F8" s="44"/>
      <c r="G8" s="1"/>
    </row>
    <row r="9" spans="1:7" ht="15" customHeight="1" x14ac:dyDescent="0.25">
      <c r="A9" s="1"/>
      <c r="B9" s="32" t="s">
        <v>40</v>
      </c>
      <c r="C9" s="32" t="s">
        <v>20</v>
      </c>
      <c r="D9" s="40"/>
      <c r="E9" s="32" t="s">
        <v>110</v>
      </c>
      <c r="F9" s="40"/>
      <c r="G9" s="1"/>
    </row>
    <row r="10" spans="1:7" x14ac:dyDescent="0.25">
      <c r="A10" s="1"/>
      <c r="B10" s="27" t="s">
        <v>155</v>
      </c>
      <c r="C10" s="25">
        <v>0</v>
      </c>
      <c r="D10" s="22" t="s">
        <v>3</v>
      </c>
      <c r="E10" s="25">
        <v>0</v>
      </c>
      <c r="F10" s="22" t="s">
        <v>3</v>
      </c>
      <c r="G10" s="1"/>
    </row>
    <row r="11" spans="1:7" x14ac:dyDescent="0.25">
      <c r="A11" s="1"/>
      <c r="B11" s="42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42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158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26</v>
      </c>
      <c r="C8" s="43"/>
      <c r="D8" s="43"/>
      <c r="E8" s="43"/>
      <c r="F8" s="44"/>
      <c r="G8" s="44"/>
      <c r="H8" s="1"/>
    </row>
    <row r="9" spans="1:8" x14ac:dyDescent="0.25">
      <c r="A9" s="1"/>
      <c r="B9" s="49" t="s">
        <v>52</v>
      </c>
      <c r="C9" s="50"/>
      <c r="D9" s="50"/>
      <c r="E9" s="51"/>
      <c r="F9" s="65">
        <v>1.2699999999999999E-2</v>
      </c>
      <c r="G9" s="66"/>
      <c r="H9" s="1"/>
    </row>
    <row r="10" spans="1:8" x14ac:dyDescent="0.25">
      <c r="A10" s="1"/>
      <c r="B10" s="49" t="s">
        <v>53</v>
      </c>
      <c r="C10" s="50"/>
      <c r="D10" s="50"/>
      <c r="E10" s="51"/>
      <c r="F10" s="65">
        <v>1.7500000000000002E-2</v>
      </c>
      <c r="G10" s="66"/>
      <c r="H10" s="1"/>
    </row>
    <row r="11" spans="1:8" x14ac:dyDescent="0.25">
      <c r="A11" s="1"/>
      <c r="B11" s="49" t="s">
        <v>54</v>
      </c>
      <c r="C11" s="50"/>
      <c r="D11" s="50"/>
      <c r="E11" s="51"/>
      <c r="F11" s="65">
        <v>1.6899999999999998E-2</v>
      </c>
      <c r="G11" s="66"/>
      <c r="H11" s="1"/>
    </row>
    <row r="12" spans="1:8" x14ac:dyDescent="0.25">
      <c r="A12" s="1"/>
      <c r="B12" s="42"/>
      <c r="C12" s="43"/>
      <c r="D12" s="43"/>
      <c r="E12" s="43"/>
      <c r="F12" s="44"/>
      <c r="G12" s="44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42" t="s">
        <v>14</v>
      </c>
      <c r="C15" s="43"/>
      <c r="D15" s="43"/>
      <c r="E15" s="43"/>
      <c r="F15" s="44"/>
      <c r="G15" s="44"/>
      <c r="H15" s="1"/>
    </row>
    <row r="16" spans="1:8" x14ac:dyDescent="0.25">
      <c r="A16" s="1"/>
      <c r="B16" s="49" t="s">
        <v>14</v>
      </c>
      <c r="C16" s="50"/>
      <c r="D16" s="50"/>
      <c r="E16" s="51"/>
      <c r="F16" s="65">
        <v>1.7000000000000001E-2</v>
      </c>
      <c r="G16" s="66"/>
      <c r="H16" s="1"/>
    </row>
    <row r="17" spans="1:8" x14ac:dyDescent="0.25">
      <c r="A17" s="1"/>
      <c r="B17" s="42"/>
      <c r="C17" s="43"/>
      <c r="D17" s="43"/>
      <c r="E17" s="43"/>
      <c r="F17" s="44"/>
      <c r="G17" s="44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46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29.25" customHeight="1" x14ac:dyDescent="0.25">
      <c r="A9" s="1"/>
      <c r="B9" s="45" t="s">
        <v>59</v>
      </c>
      <c r="C9" s="7">
        <f>'Fane 3. Omkostninger i ØR2018'!G13</f>
        <v>7720548.9040883379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8" t="s">
        <v>49</v>
      </c>
      <c r="C10" s="7">
        <f>'Fane 3. Omkostninger i ØR2018'!G10</f>
        <v>0</v>
      </c>
      <c r="D10" s="8"/>
      <c r="E10" s="36"/>
      <c r="F10" s="13"/>
      <c r="G10" s="1"/>
    </row>
    <row r="11" spans="1:7" x14ac:dyDescent="0.25">
      <c r="A11" s="1"/>
      <c r="B11" s="46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41</v>
      </c>
      <c r="C13" s="11">
        <f>(C9-C10)*Prisudvikling2017+C10*Prisudvikling2018+SUM(C11:C12)*Prisudvikling2019</f>
        <v>98050.971081921889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6" t="s">
        <v>14</v>
      </c>
      <c r="C14" s="11">
        <f>-SUM(C9,C11:C13)*GenereltKrav</f>
        <v>-132916.19787789442</v>
      </c>
      <c r="D14" s="8" t="s">
        <v>3</v>
      </c>
      <c r="E14" s="15"/>
      <c r="F14" s="16"/>
      <c r="G14" s="1"/>
    </row>
    <row r="15" spans="1:7" x14ac:dyDescent="0.25">
      <c r="A15" s="1"/>
      <c r="B15" s="47" t="s">
        <v>45</v>
      </c>
      <c r="C15" s="17">
        <f>SUM(C9,C11:C14)</f>
        <v>7685683.6772923656</v>
      </c>
      <c r="D15" s="18" t="s">
        <v>3</v>
      </c>
      <c r="E15" s="17">
        <f>C15</f>
        <v>7685683.6772923656</v>
      </c>
      <c r="F15" s="18" t="s">
        <v>3</v>
      </c>
      <c r="G15" s="1"/>
    </row>
    <row r="16" spans="1:7" x14ac:dyDescent="0.25">
      <c r="A16" s="1"/>
      <c r="B16" s="42" t="s">
        <v>43</v>
      </c>
      <c r="C16" s="43"/>
      <c r="D16" s="43"/>
      <c r="E16" s="43"/>
      <c r="F16" s="44"/>
      <c r="G16" s="1"/>
    </row>
    <row r="17" spans="1:7" ht="15" customHeight="1" x14ac:dyDescent="0.25">
      <c r="A17" s="1"/>
      <c r="B17" s="46" t="s">
        <v>153</v>
      </c>
      <c r="C17" s="25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6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32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42" t="s">
        <v>21</v>
      </c>
      <c r="C20" s="43"/>
      <c r="D20" s="43"/>
      <c r="E20" s="43"/>
      <c r="F20" s="44"/>
      <c r="G20" s="1"/>
    </row>
    <row r="21" spans="1:7" ht="15" customHeight="1" x14ac:dyDescent="0.25">
      <c r="A21" s="1"/>
      <c r="B21" s="46" t="s">
        <v>21</v>
      </c>
      <c r="C21" s="11">
        <f>'Fane 5. Ikke-påvirkelige omk.'!E15</f>
        <v>3730261.1572954389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6" t="s">
        <v>85</v>
      </c>
      <c r="C22" s="25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32" t="s">
        <v>86</v>
      </c>
      <c r="C23" s="17">
        <f>SUM(C21:C22)</f>
        <v>3730261.1572954389</v>
      </c>
      <c r="D23" s="18" t="s">
        <v>3</v>
      </c>
      <c r="E23" s="17">
        <f>C23</f>
        <v>3730261.1572954389</v>
      </c>
      <c r="F23" s="18" t="s">
        <v>3</v>
      </c>
      <c r="G23" s="1"/>
    </row>
    <row r="24" spans="1:7" ht="15" customHeight="1" x14ac:dyDescent="0.25">
      <c r="A24" s="1"/>
      <c r="B24" s="42" t="s">
        <v>87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61</v>
      </c>
      <c r="C25" s="6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5" t="s">
        <v>62</v>
      </c>
      <c r="C26" s="67">
        <v>0</v>
      </c>
      <c r="D26" s="8" t="s">
        <v>3</v>
      </c>
      <c r="E26" s="37"/>
      <c r="F26" s="13"/>
      <c r="G26" s="1"/>
    </row>
    <row r="27" spans="1:7" ht="28.5" customHeight="1" x14ac:dyDescent="0.25">
      <c r="A27" s="1"/>
      <c r="B27" s="46" t="s">
        <v>63</v>
      </c>
      <c r="C27" s="67">
        <v>20024.305369274127</v>
      </c>
      <c r="D27" s="8" t="s">
        <v>3</v>
      </c>
      <c r="E27" s="36"/>
      <c r="F27" s="13"/>
      <c r="G27" s="1"/>
    </row>
    <row r="28" spans="1:7" ht="15" customHeight="1" x14ac:dyDescent="0.25">
      <c r="A28" s="1"/>
      <c r="B28" s="32" t="s">
        <v>64</v>
      </c>
      <c r="C28" s="17">
        <f>SUM(C25:C27)</f>
        <v>20024.305369274127</v>
      </c>
      <c r="D28" s="18" t="s">
        <v>3</v>
      </c>
      <c r="E28" s="17">
        <f>C28</f>
        <v>20024.305369274127</v>
      </c>
      <c r="F28" s="18" t="s">
        <v>3</v>
      </c>
      <c r="G28" s="1"/>
    </row>
    <row r="29" spans="1:7" x14ac:dyDescent="0.25">
      <c r="A29" s="1"/>
      <c r="B29" s="42" t="s">
        <v>15</v>
      </c>
      <c r="C29" s="43"/>
      <c r="D29" s="43"/>
      <c r="E29" s="43"/>
      <c r="F29" s="44"/>
      <c r="G29" s="1"/>
    </row>
    <row r="30" spans="1:7" ht="15" customHeight="1" x14ac:dyDescent="0.25">
      <c r="A30" s="1"/>
      <c r="B30" s="32" t="s">
        <v>23</v>
      </c>
      <c r="C30" s="17">
        <f>'Fane 7. Hist. over el. underdæk'!G13</f>
        <v>-528107.5</v>
      </c>
      <c r="D30" s="18" t="s">
        <v>3</v>
      </c>
      <c r="E30" s="17">
        <f>C30</f>
        <v>-528107.5</v>
      </c>
      <c r="F30" s="18" t="s">
        <v>3</v>
      </c>
      <c r="G30" s="1"/>
    </row>
    <row r="31" spans="1:7" x14ac:dyDescent="0.25">
      <c r="A31" s="1"/>
      <c r="B31" s="42" t="s">
        <v>35</v>
      </c>
      <c r="C31" s="43"/>
      <c r="D31" s="44"/>
      <c r="E31" s="20">
        <f>SUM(E15,E19,E23,E28,E30)</f>
        <v>10907861.63995708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66</v>
      </c>
      <c r="C9" s="7">
        <f>'Fane 2.1. Økonomisk ramme 2019'!E15</f>
        <v>7685683.6772923656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49</v>
      </c>
      <c r="C10" s="7">
        <f>'Fane 2.1. Økonomisk ramme 2019'!C10*(1+Prisudvikling2018)*(1-GenereltKrav)</f>
        <v>0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67</v>
      </c>
      <c r="C11" s="7">
        <f>SUM('Fane 2.1. Økonomisk ramme 2019'!C11:C12)*(1+Prisudvikling2019)*(1-GenereltKrav)</f>
        <v>0</v>
      </c>
      <c r="D11" s="8" t="s">
        <v>3</v>
      </c>
      <c r="E11" s="36"/>
      <c r="F11" s="13"/>
      <c r="G11" s="1"/>
    </row>
    <row r="12" spans="1:7" ht="15" customHeight="1" x14ac:dyDescent="0.25">
      <c r="A12" s="1"/>
      <c r="B12" s="46" t="s">
        <v>41</v>
      </c>
      <c r="C12" s="11">
        <f>(C9-C10-C11)*Prisudvikling2017+C10*Prisudvikling2018+C11*Prisudvikling2019</f>
        <v>97608.182701613041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6" t="s">
        <v>14</v>
      </c>
      <c r="C13" s="11">
        <f>-SUM(C9,C12)*GenereltKrav</f>
        <v>-132315.96161989763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7" t="s">
        <v>45</v>
      </c>
      <c r="C14" s="17">
        <f>SUM(C9,C12:C13)</f>
        <v>7650975.8983740807</v>
      </c>
      <c r="D14" s="18" t="s">
        <v>3</v>
      </c>
      <c r="E14" s="17">
        <f>C14</f>
        <v>7650975.8983740807</v>
      </c>
      <c r="F14" s="18" t="s">
        <v>3</v>
      </c>
      <c r="G14" s="1"/>
    </row>
    <row r="15" spans="1:7" ht="15" customHeight="1" x14ac:dyDescent="0.25">
      <c r="A15" s="1"/>
      <c r="B15" s="42" t="s">
        <v>43</v>
      </c>
      <c r="C15" s="43"/>
      <c r="D15" s="43"/>
      <c r="E15" s="43"/>
      <c r="F15" s="44"/>
      <c r="G15" s="1"/>
    </row>
    <row r="16" spans="1:7" ht="15" customHeight="1" x14ac:dyDescent="0.25">
      <c r="A16" s="1"/>
      <c r="B16" s="46" t="s">
        <v>153</v>
      </c>
      <c r="C16" s="25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6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32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2" t="s">
        <v>21</v>
      </c>
      <c r="C19" s="43"/>
      <c r="D19" s="43"/>
      <c r="E19" s="43"/>
      <c r="F19" s="44"/>
      <c r="G19" s="1"/>
    </row>
    <row r="20" spans="1:7" ht="14.25" customHeight="1" x14ac:dyDescent="0.25">
      <c r="A20" s="1"/>
      <c r="B20" s="46" t="s">
        <v>21</v>
      </c>
      <c r="C20" s="11">
        <f>'Fane 5. Ikke-påvirkelige omk.'!E15*(1+Prisudvikling2019)</f>
        <v>3793302.5708537316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6" t="s">
        <v>85</v>
      </c>
      <c r="C21" s="25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32" t="s">
        <v>86</v>
      </c>
      <c r="C22" s="17">
        <f>SUM(C20:C21)</f>
        <v>3793302.5708537316</v>
      </c>
      <c r="D22" s="18" t="s">
        <v>3</v>
      </c>
      <c r="E22" s="17">
        <f>C22</f>
        <v>3793302.5708537316</v>
      </c>
      <c r="F22" s="18" t="s">
        <v>3</v>
      </c>
      <c r="G22" s="1"/>
    </row>
    <row r="23" spans="1:7" x14ac:dyDescent="0.25">
      <c r="A23" s="1"/>
      <c r="B23" s="42" t="s">
        <v>15</v>
      </c>
      <c r="C23" s="43"/>
      <c r="D23" s="43"/>
      <c r="E23" s="43"/>
      <c r="F23" s="44"/>
      <c r="G23" s="1"/>
    </row>
    <row r="24" spans="1:7" ht="15" customHeight="1" x14ac:dyDescent="0.25">
      <c r="A24" s="1"/>
      <c r="B24" s="32" t="s">
        <v>23</v>
      </c>
      <c r="C24" s="17">
        <f>IF('Fane 7. Hist. over el. underdæk'!G12&gt;1,'Fane 7. Hist. over el. underdæk'!G13,0)</f>
        <v>-528107.5</v>
      </c>
      <c r="D24" s="18" t="s">
        <v>3</v>
      </c>
      <c r="E24" s="17">
        <f>C24</f>
        <v>-528107.5</v>
      </c>
      <c r="F24" s="18" t="s">
        <v>3</v>
      </c>
      <c r="G24" s="1"/>
    </row>
    <row r="25" spans="1:7" x14ac:dyDescent="0.25">
      <c r="A25" s="1"/>
      <c r="B25" s="42" t="s">
        <v>68</v>
      </c>
      <c r="C25" s="43"/>
      <c r="D25" s="44"/>
      <c r="E25" s="20">
        <f>SUM(E14,E18,E22,E24)</f>
        <v>10916170.969227813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90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48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9" t="s">
        <v>69</v>
      </c>
      <c r="C9" s="7">
        <f>'Fane 2.2. Økonomisk ramme 2020'!E14</f>
        <v>7650975.8983740807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27</v>
      </c>
      <c r="C10" s="7">
        <f>'Fane 4. Korrigeret grundlag'!G24</f>
        <v>-133895.84076381053</v>
      </c>
      <c r="D10" s="8" t="s">
        <v>3</v>
      </c>
      <c r="E10" s="36"/>
      <c r="F10" s="13"/>
      <c r="G10" s="1"/>
    </row>
    <row r="11" spans="1:7" ht="15" customHeight="1" x14ac:dyDescent="0.25">
      <c r="A11" s="1"/>
      <c r="B11" s="46" t="s">
        <v>41</v>
      </c>
      <c r="C11" s="11">
        <f>SUM(C9:C10)*Prisudvikling2019</f>
        <v>127038.65297361356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6" t="s">
        <v>14</v>
      </c>
      <c r="C12" s="11">
        <f>-SUM(C9:C11)*GenereltKrav</f>
        <v>-129950.01807992604</v>
      </c>
      <c r="D12" s="8" t="s">
        <v>3</v>
      </c>
      <c r="E12" s="15"/>
      <c r="F12" s="16"/>
      <c r="G12" s="1"/>
    </row>
    <row r="13" spans="1:7" x14ac:dyDescent="0.25">
      <c r="A13" s="1"/>
      <c r="B13" s="47" t="s">
        <v>45</v>
      </c>
      <c r="C13" s="17">
        <f>SUM(C9:C12)</f>
        <v>7514168.692503958</v>
      </c>
      <c r="D13" s="18" t="s">
        <v>3</v>
      </c>
      <c r="E13" s="17">
        <f>C13</f>
        <v>7514168.692503958</v>
      </c>
      <c r="F13" s="18" t="s">
        <v>3</v>
      </c>
      <c r="G13" s="1"/>
    </row>
    <row r="14" spans="1:7" x14ac:dyDescent="0.25">
      <c r="A14" s="1"/>
      <c r="B14" s="42" t="s">
        <v>43</v>
      </c>
      <c r="C14" s="43"/>
      <c r="D14" s="43"/>
      <c r="E14" s="43"/>
      <c r="F14" s="44"/>
      <c r="G14" s="1"/>
    </row>
    <row r="15" spans="1:7" ht="15" customHeight="1" x14ac:dyDescent="0.25">
      <c r="A15" s="1"/>
      <c r="B15" s="46" t="s">
        <v>153</v>
      </c>
      <c r="C15" s="25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6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32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42" t="s">
        <v>21</v>
      </c>
      <c r="C18" s="43"/>
      <c r="D18" s="43"/>
      <c r="E18" s="43"/>
      <c r="F18" s="44"/>
      <c r="G18" s="1"/>
    </row>
    <row r="19" spans="1:7" ht="15" customHeight="1" x14ac:dyDescent="0.25">
      <c r="A19" s="1"/>
      <c r="B19" s="46" t="s">
        <v>21</v>
      </c>
      <c r="C19" s="11">
        <f>'Fane 5. Ikke-påvirkelige omk.'!E15*(1+Prisudvikling2019)^2</f>
        <v>3857409.3843011591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6" t="s">
        <v>85</v>
      </c>
      <c r="C20" s="25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32" t="s">
        <v>86</v>
      </c>
      <c r="C21" s="17">
        <f>SUM(C19:C20)</f>
        <v>3857409.3843011591</v>
      </c>
      <c r="D21" s="18" t="s">
        <v>3</v>
      </c>
      <c r="E21" s="17">
        <f>C21</f>
        <v>3857409.3843011591</v>
      </c>
      <c r="F21" s="18" t="s">
        <v>3</v>
      </c>
      <c r="G21" s="1"/>
    </row>
    <row r="22" spans="1:7" x14ac:dyDescent="0.25">
      <c r="A22" s="1"/>
      <c r="B22" s="42" t="s">
        <v>124</v>
      </c>
      <c r="C22" s="43"/>
      <c r="D22" s="43"/>
      <c r="E22" s="43"/>
      <c r="F22" s="44"/>
      <c r="G22" s="1"/>
    </row>
    <row r="23" spans="1:7" ht="15" customHeight="1" x14ac:dyDescent="0.25">
      <c r="A23" s="1"/>
      <c r="B23" s="32" t="s">
        <v>33</v>
      </c>
      <c r="C23" s="17">
        <f>'Fane 6. Korrektion prisloft 16'!G13</f>
        <v>-226784.87570908008</v>
      </c>
      <c r="D23" s="18" t="s">
        <v>3</v>
      </c>
      <c r="E23" s="17">
        <f>C23</f>
        <v>-226784.87570908008</v>
      </c>
      <c r="F23" s="18" t="s">
        <v>3</v>
      </c>
      <c r="G23" s="1"/>
    </row>
    <row r="24" spans="1:7" x14ac:dyDescent="0.25">
      <c r="A24" s="1"/>
      <c r="B24" s="42" t="s">
        <v>121</v>
      </c>
      <c r="C24" s="43"/>
      <c r="D24" s="43"/>
      <c r="E24" s="43"/>
      <c r="F24" s="44"/>
      <c r="G24" s="1"/>
    </row>
    <row r="25" spans="1:7" ht="15" customHeight="1" x14ac:dyDescent="0.25">
      <c r="A25" s="1"/>
      <c r="B25" s="45" t="s">
        <v>122</v>
      </c>
      <c r="C25" s="11">
        <f>'Fane 6. Korrektion prisloft 16'!G22</f>
        <v>301646.83420643862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5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61">
        <f>SUM(C25:C26)</f>
        <v>301646.83420643862</v>
      </c>
      <c r="D27" s="40" t="s">
        <v>3</v>
      </c>
      <c r="E27" s="17">
        <f>C27</f>
        <v>301646.83420643862</v>
      </c>
      <c r="F27" s="18" t="s">
        <v>3</v>
      </c>
      <c r="G27" s="1"/>
    </row>
    <row r="28" spans="1:7" x14ac:dyDescent="0.25">
      <c r="A28" s="1"/>
      <c r="B28" s="42" t="s">
        <v>84</v>
      </c>
      <c r="C28" s="43"/>
      <c r="D28" s="44"/>
      <c r="E28" s="20">
        <f>SUM(E13,E17,E21,E23,E27)</f>
        <v>11446440.035302475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48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24</v>
      </c>
      <c r="C8" s="43"/>
      <c r="D8" s="43"/>
      <c r="E8" s="43"/>
      <c r="F8" s="44"/>
      <c r="G8" s="1"/>
    </row>
    <row r="9" spans="1:7" ht="15" customHeight="1" x14ac:dyDescent="0.25">
      <c r="A9" s="1"/>
      <c r="B9" s="45" t="s">
        <v>79</v>
      </c>
      <c r="C9" s="7">
        <f>'Fane 2.3. Økonomisk ramme 2021'!E13</f>
        <v>7514168.692503958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6" t="s">
        <v>41</v>
      </c>
      <c r="C10" s="11">
        <f>C9*Prisudvikling2019</f>
        <v>126989.45090331687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6" t="s">
        <v>14</v>
      </c>
      <c r="C11" s="11">
        <f>-SUM(C9:C10)*GenereltKrav</f>
        <v>-129899.68843792369</v>
      </c>
      <c r="D11" s="8" t="s">
        <v>3</v>
      </c>
      <c r="E11" s="15"/>
      <c r="F11" s="16"/>
      <c r="G11" s="1"/>
    </row>
    <row r="12" spans="1:7" x14ac:dyDescent="0.25">
      <c r="A12" s="1"/>
      <c r="B12" s="47" t="s">
        <v>45</v>
      </c>
      <c r="C12" s="17">
        <f>SUM(C9:C11)</f>
        <v>7511258.4549693512</v>
      </c>
      <c r="D12" s="18" t="s">
        <v>3</v>
      </c>
      <c r="E12" s="17">
        <f>C12</f>
        <v>7511258.4549693512</v>
      </c>
      <c r="F12" s="18" t="s">
        <v>3</v>
      </c>
      <c r="G12" s="1"/>
    </row>
    <row r="13" spans="1:7" x14ac:dyDescent="0.25">
      <c r="A13" s="1"/>
      <c r="B13" s="42" t="s">
        <v>43</v>
      </c>
      <c r="C13" s="43"/>
      <c r="D13" s="43"/>
      <c r="E13" s="43"/>
      <c r="F13" s="44"/>
      <c r="G13" s="1"/>
    </row>
    <row r="14" spans="1:7" ht="15" customHeight="1" x14ac:dyDescent="0.25">
      <c r="A14" s="1"/>
      <c r="B14" s="46" t="s">
        <v>153</v>
      </c>
      <c r="C14" s="25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6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32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42" t="s">
        <v>21</v>
      </c>
      <c r="C17" s="43"/>
      <c r="D17" s="43"/>
      <c r="E17" s="43"/>
      <c r="F17" s="44"/>
      <c r="G17" s="1"/>
    </row>
    <row r="18" spans="1:7" ht="15" customHeight="1" x14ac:dyDescent="0.25">
      <c r="A18" s="1"/>
      <c r="B18" s="46" t="s">
        <v>21</v>
      </c>
      <c r="C18" s="11">
        <f>'Fane 5. Ikke-påvirkelige omk.'!E15*(1+Prisudvikling2019)^3</f>
        <v>3922599.602895848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6" t="s">
        <v>85</v>
      </c>
      <c r="C19" s="25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32" t="s">
        <v>86</v>
      </c>
      <c r="C20" s="17">
        <f>SUM(C18:C19)</f>
        <v>3922599.602895848</v>
      </c>
      <c r="D20" s="18" t="s">
        <v>3</v>
      </c>
      <c r="E20" s="17">
        <f>C20</f>
        <v>3922599.602895848</v>
      </c>
      <c r="F20" s="18" t="s">
        <v>3</v>
      </c>
      <c r="G20" s="1"/>
    </row>
    <row r="21" spans="1:7" x14ac:dyDescent="0.25">
      <c r="A21" s="1"/>
      <c r="B21" s="42" t="s">
        <v>124</v>
      </c>
      <c r="C21" s="43"/>
      <c r="D21" s="43"/>
      <c r="E21" s="43"/>
      <c r="F21" s="44"/>
      <c r="G21" s="1"/>
    </row>
    <row r="22" spans="1:7" ht="15" customHeight="1" x14ac:dyDescent="0.25">
      <c r="A22" s="1"/>
      <c r="B22" s="32" t="s">
        <v>33</v>
      </c>
      <c r="C22" s="17">
        <f>'Fane 2.3. Økonomisk ramme 2021'!C23*(1+Prisudvikling2019)</f>
        <v>-230617.54010856352</v>
      </c>
      <c r="D22" s="18" t="s">
        <v>3</v>
      </c>
      <c r="E22" s="17">
        <f>C22</f>
        <v>-230617.54010856352</v>
      </c>
      <c r="F22" s="18" t="s">
        <v>3</v>
      </c>
      <c r="G22" s="1"/>
    </row>
    <row r="23" spans="1:7" ht="15" customHeight="1" x14ac:dyDescent="0.25">
      <c r="A23" s="1"/>
      <c r="B23" s="42" t="s">
        <v>121</v>
      </c>
      <c r="C23" s="43"/>
      <c r="D23" s="43"/>
      <c r="E23" s="43"/>
      <c r="F23" s="44"/>
      <c r="G23" s="1"/>
    </row>
    <row r="24" spans="1:7" ht="15" customHeight="1" x14ac:dyDescent="0.25">
      <c r="A24" s="1"/>
      <c r="B24" s="45" t="s">
        <v>122</v>
      </c>
      <c r="C24" s="11">
        <f>'Fane 2.3. Økonomisk ramme 2021'!C25*(1+Prisudvikling2019)</f>
        <v>306744.6657045274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5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156</v>
      </c>
      <c r="C26" s="61">
        <f>SUM(C24:C25)</f>
        <v>306744.6657045274</v>
      </c>
      <c r="D26" s="40" t="s">
        <v>3</v>
      </c>
      <c r="E26" s="17">
        <f>C26</f>
        <v>306744.6657045274</v>
      </c>
      <c r="F26" s="18" t="s">
        <v>3</v>
      </c>
      <c r="G26" s="1"/>
    </row>
    <row r="27" spans="1:7" x14ac:dyDescent="0.25">
      <c r="A27" s="1"/>
      <c r="B27" s="42" t="s">
        <v>78</v>
      </c>
      <c r="C27" s="43"/>
      <c r="D27" s="44"/>
      <c r="E27" s="20">
        <f>SUM(E12,E16,E20,E22,E26)</f>
        <v>11509985.183461163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92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59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34</v>
      </c>
      <c r="C9" s="50"/>
      <c r="D9" s="50"/>
      <c r="E9" s="50"/>
      <c r="F9" s="51"/>
      <c r="G9" s="25">
        <v>11444975.910288338</v>
      </c>
      <c r="H9" s="22" t="s">
        <v>3</v>
      </c>
      <c r="I9" s="1"/>
    </row>
    <row r="10" spans="1:9" x14ac:dyDescent="0.25">
      <c r="A10" s="1"/>
      <c r="B10" s="48" t="s">
        <v>60</v>
      </c>
      <c r="C10" s="50"/>
      <c r="D10" s="50"/>
      <c r="E10" s="50"/>
      <c r="F10" s="51"/>
      <c r="G10" s="25">
        <v>0</v>
      </c>
      <c r="H10" s="22" t="s">
        <v>3</v>
      </c>
      <c r="I10" s="1"/>
    </row>
    <row r="11" spans="1:9" x14ac:dyDescent="0.25">
      <c r="A11" s="1"/>
      <c r="B11" s="48" t="s">
        <v>57</v>
      </c>
      <c r="C11" s="50"/>
      <c r="D11" s="50"/>
      <c r="E11" s="50"/>
      <c r="F11" s="51"/>
      <c r="G11" s="25">
        <v>3724427.0061999997</v>
      </c>
      <c r="H11" s="22" t="s">
        <v>3</v>
      </c>
      <c r="I11" s="1"/>
    </row>
    <row r="12" spans="1:9" x14ac:dyDescent="0.25">
      <c r="A12" s="1"/>
      <c r="B12" s="48" t="s">
        <v>58</v>
      </c>
      <c r="C12" s="50"/>
      <c r="D12" s="50"/>
      <c r="E12" s="50"/>
      <c r="F12" s="51"/>
      <c r="G12" s="25">
        <v>0</v>
      </c>
      <c r="H12" s="22" t="s">
        <v>3</v>
      </c>
      <c r="I12" s="1"/>
    </row>
    <row r="13" spans="1:9" ht="26.25" customHeight="1" x14ac:dyDescent="0.25">
      <c r="A13" s="1"/>
      <c r="B13" s="52" t="s">
        <v>80</v>
      </c>
      <c r="C13" s="53"/>
      <c r="D13" s="53"/>
      <c r="E13" s="53"/>
      <c r="F13" s="54"/>
      <c r="G13" s="38">
        <f>G9-G11-G12</f>
        <v>7720548.9040883379</v>
      </c>
      <c r="H13" s="39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138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2" t="s">
        <v>70</v>
      </c>
      <c r="C8" s="43"/>
      <c r="D8" s="43"/>
      <c r="E8" s="43"/>
      <c r="F8" s="43"/>
      <c r="G8" s="43"/>
      <c r="H8" s="44"/>
      <c r="I8" s="1"/>
    </row>
    <row r="9" spans="1:9" x14ac:dyDescent="0.25">
      <c r="A9" s="1"/>
      <c r="B9" s="49" t="s">
        <v>71</v>
      </c>
      <c r="C9" s="50"/>
      <c r="D9" s="50"/>
      <c r="E9" s="50"/>
      <c r="F9" s="51"/>
      <c r="G9" s="25">
        <v>4056520.1022601626</v>
      </c>
      <c r="H9" s="22" t="s">
        <v>3</v>
      </c>
      <c r="I9" s="1"/>
    </row>
    <row r="10" spans="1:9" x14ac:dyDescent="0.25">
      <c r="A10" s="1"/>
      <c r="B10" s="49" t="s">
        <v>72</v>
      </c>
      <c r="C10" s="50"/>
      <c r="D10" s="50"/>
      <c r="E10" s="50"/>
      <c r="F10" s="51"/>
      <c r="G10" s="25">
        <v>3833302.0416990928</v>
      </c>
      <c r="H10" s="22" t="s">
        <v>3</v>
      </c>
      <c r="I10" s="1"/>
    </row>
    <row r="11" spans="1:9" ht="26.25" customHeight="1" x14ac:dyDescent="0.25">
      <c r="A11" s="1"/>
      <c r="B11" s="52" t="s">
        <v>73</v>
      </c>
      <c r="C11" s="53"/>
      <c r="D11" s="53"/>
      <c r="E11" s="53"/>
      <c r="F11" s="54"/>
      <c r="G11" s="38">
        <f>SUM(G9:G10)</f>
        <v>7889822.1439592559</v>
      </c>
      <c r="H11" s="39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42" t="s">
        <v>74</v>
      </c>
      <c r="C14" s="43"/>
      <c r="D14" s="43"/>
      <c r="E14" s="43"/>
      <c r="F14" s="43"/>
      <c r="G14" s="43"/>
      <c r="H14" s="44"/>
      <c r="I14" s="1"/>
    </row>
    <row r="15" spans="1:9" x14ac:dyDescent="0.25">
      <c r="A15" s="1"/>
      <c r="B15" s="49" t="s">
        <v>36</v>
      </c>
      <c r="C15" s="50"/>
      <c r="D15" s="50"/>
      <c r="E15" s="50"/>
      <c r="F15" s="51"/>
      <c r="G15" s="25">
        <v>3805155.4047801616</v>
      </c>
      <c r="H15" s="22" t="s">
        <v>3</v>
      </c>
      <c r="I15" s="1"/>
    </row>
    <row r="16" spans="1:9" x14ac:dyDescent="0.25">
      <c r="A16" s="1"/>
      <c r="B16" s="49" t="s">
        <v>37</v>
      </c>
      <c r="C16" s="50"/>
      <c r="D16" s="50"/>
      <c r="E16" s="50"/>
      <c r="F16" s="51"/>
      <c r="G16" s="25">
        <v>3957336.2684484264</v>
      </c>
      <c r="H16" s="22" t="s">
        <v>3</v>
      </c>
      <c r="I16" s="1"/>
    </row>
    <row r="17" spans="1:9" ht="26.25" customHeight="1" x14ac:dyDescent="0.25">
      <c r="A17" s="1"/>
      <c r="B17" s="52" t="s">
        <v>75</v>
      </c>
      <c r="C17" s="53"/>
      <c r="D17" s="53"/>
      <c r="E17" s="53"/>
      <c r="F17" s="54"/>
      <c r="G17" s="38">
        <f>SUM(G15:G16)</f>
        <v>7762491.673228588</v>
      </c>
      <c r="H17" s="39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42" t="s">
        <v>27</v>
      </c>
      <c r="C20" s="43"/>
      <c r="D20" s="43"/>
      <c r="E20" s="43"/>
      <c r="F20" s="43"/>
      <c r="G20" s="43"/>
      <c r="H20" s="44"/>
      <c r="I20" s="1"/>
    </row>
    <row r="21" spans="1:9" x14ac:dyDescent="0.25">
      <c r="A21" s="1"/>
      <c r="B21" s="49" t="s">
        <v>76</v>
      </c>
      <c r="C21" s="50"/>
      <c r="D21" s="50"/>
      <c r="E21" s="50"/>
      <c r="F21" s="51"/>
      <c r="G21" s="11">
        <f>G15-G9</f>
        <v>-251364.69748000102</v>
      </c>
      <c r="H21" s="22" t="s">
        <v>3</v>
      </c>
      <c r="I21" s="1"/>
    </row>
    <row r="22" spans="1:9" x14ac:dyDescent="0.25">
      <c r="A22" s="1"/>
      <c r="B22" s="49" t="s">
        <v>77</v>
      </c>
      <c r="C22" s="50"/>
      <c r="D22" s="50"/>
      <c r="E22" s="50"/>
      <c r="F22" s="51"/>
      <c r="G22" s="11">
        <f>G16-G10</f>
        <v>124034.22674933355</v>
      </c>
      <c r="H22" s="22" t="s">
        <v>3</v>
      </c>
      <c r="I22" s="1"/>
    </row>
    <row r="23" spans="1:9" ht="15" customHeight="1" x14ac:dyDescent="0.25">
      <c r="A23" s="1"/>
      <c r="B23" s="52" t="s">
        <v>139</v>
      </c>
      <c r="C23" s="53"/>
      <c r="D23" s="53"/>
      <c r="E23" s="53"/>
      <c r="F23" s="54"/>
      <c r="G23" s="20">
        <f>SUM(G21:G22)</f>
        <v>-127330.47073066747</v>
      </c>
      <c r="H23" s="21" t="s">
        <v>3</v>
      </c>
      <c r="I23" s="1"/>
    </row>
    <row r="24" spans="1:9" ht="15" customHeight="1" x14ac:dyDescent="0.25">
      <c r="A24" s="1"/>
      <c r="B24" s="52" t="s">
        <v>140</v>
      </c>
      <c r="C24" s="53"/>
      <c r="D24" s="53"/>
      <c r="E24" s="53"/>
      <c r="F24" s="54"/>
      <c r="G24" s="20">
        <f>G23*(1+Prisudvikling2019)^3</f>
        <v>-133895.84076381053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60" t="s">
        <v>111</v>
      </c>
      <c r="C26" s="60"/>
      <c r="D26" s="60"/>
      <c r="E26" s="60"/>
      <c r="F26" s="60"/>
      <c r="G26" s="60"/>
      <c r="H26" s="60"/>
      <c r="I26" s="1"/>
    </row>
    <row r="27" spans="1:9" ht="26.25" x14ac:dyDescent="0.25">
      <c r="A27" s="1"/>
      <c r="B27" s="60" t="s">
        <v>154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133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2" t="s">
        <v>81</v>
      </c>
      <c r="C8" s="43"/>
      <c r="D8" s="43"/>
      <c r="E8" s="43"/>
      <c r="F8" s="44"/>
      <c r="G8" s="1"/>
      <c r="H8" s="1"/>
    </row>
    <row r="9" spans="1:8" ht="15" customHeight="1" x14ac:dyDescent="0.25">
      <c r="A9" s="1"/>
      <c r="B9" s="32" t="s">
        <v>108</v>
      </c>
      <c r="C9" s="33"/>
      <c r="D9" s="40"/>
      <c r="E9" s="18" t="s">
        <v>56</v>
      </c>
      <c r="F9" s="18"/>
      <c r="G9" s="1"/>
      <c r="H9" s="1"/>
    </row>
    <row r="10" spans="1:8" x14ac:dyDescent="0.25">
      <c r="A10" s="1"/>
      <c r="B10" s="68" t="s">
        <v>149</v>
      </c>
      <c r="C10" s="55"/>
      <c r="D10" s="56"/>
      <c r="E10" s="25">
        <v>3586011</v>
      </c>
      <c r="F10" s="22" t="s">
        <v>3</v>
      </c>
      <c r="G10" s="1"/>
      <c r="H10" s="1"/>
    </row>
    <row r="11" spans="1:8" x14ac:dyDescent="0.25">
      <c r="A11" s="1"/>
      <c r="B11" s="68" t="s">
        <v>150</v>
      </c>
      <c r="C11" s="55"/>
      <c r="D11" s="56"/>
      <c r="E11" s="25">
        <v>8264</v>
      </c>
      <c r="F11" s="22" t="s">
        <v>3</v>
      </c>
      <c r="G11" s="1"/>
      <c r="H11" s="1"/>
    </row>
    <row r="12" spans="1:8" x14ac:dyDescent="0.25">
      <c r="A12" s="1"/>
      <c r="B12" s="68" t="s">
        <v>151</v>
      </c>
      <c r="C12" s="55"/>
      <c r="D12" s="56"/>
      <c r="E12" s="25">
        <v>2029</v>
      </c>
      <c r="F12" s="22" t="s">
        <v>3</v>
      </c>
      <c r="G12" s="1"/>
      <c r="H12" s="1"/>
    </row>
    <row r="13" spans="1:8" x14ac:dyDescent="0.25">
      <c r="A13" s="1"/>
      <c r="B13" s="68" t="s">
        <v>152</v>
      </c>
      <c r="C13" s="55"/>
      <c r="D13" s="56"/>
      <c r="E13" s="25">
        <v>11000</v>
      </c>
      <c r="F13" s="22" t="s">
        <v>3</v>
      </c>
      <c r="G13" s="1"/>
      <c r="H13" s="1"/>
    </row>
    <row r="14" spans="1:8" x14ac:dyDescent="0.25">
      <c r="A14" s="1"/>
      <c r="B14" s="42" t="s">
        <v>136</v>
      </c>
      <c r="C14" s="43"/>
      <c r="D14" s="44"/>
      <c r="E14" s="20">
        <f>SUM(E10:E13)</f>
        <v>3607304</v>
      </c>
      <c r="F14" s="21" t="s">
        <v>3</v>
      </c>
      <c r="G14" s="1"/>
      <c r="H14" s="1"/>
    </row>
    <row r="15" spans="1:8" x14ac:dyDescent="0.25">
      <c r="A15" s="1"/>
      <c r="B15" s="42" t="s">
        <v>137</v>
      </c>
      <c r="C15" s="43"/>
      <c r="D15" s="44"/>
      <c r="E15" s="20">
        <f>E14*(1+Prisudvikling2019)^2</f>
        <v>3730261.1572954389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124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33</v>
      </c>
      <c r="C9" s="100"/>
      <c r="D9" s="101"/>
      <c r="E9" s="25">
        <v>-833732.38666666672</v>
      </c>
      <c r="F9" s="22" t="s">
        <v>3</v>
      </c>
      <c r="G9" s="19"/>
      <c r="H9" s="30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31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-208433.09666666668</v>
      </c>
      <c r="F11" s="22" t="s">
        <v>3</v>
      </c>
      <c r="G11" s="14"/>
      <c r="H11" s="31"/>
      <c r="I11" s="1"/>
    </row>
    <row r="12" spans="1:9" x14ac:dyDescent="0.25">
      <c r="A12" s="1"/>
      <c r="B12" s="96" t="s">
        <v>131</v>
      </c>
      <c r="C12" s="97"/>
      <c r="D12" s="97"/>
      <c r="E12" s="97"/>
      <c r="F12" s="98"/>
      <c r="G12" s="20">
        <f>E11</f>
        <v>-208433.09666666668</v>
      </c>
      <c r="H12" s="21" t="s">
        <v>3</v>
      </c>
      <c r="I12" s="1"/>
    </row>
    <row r="13" spans="1:9" x14ac:dyDescent="0.25">
      <c r="A13" s="1"/>
      <c r="B13" s="96" t="s">
        <v>127</v>
      </c>
      <c r="C13" s="97"/>
      <c r="D13" s="97"/>
      <c r="E13" s="97"/>
      <c r="F13" s="98"/>
      <c r="G13" s="20">
        <f>G12*(1+Prisudvikling2018)*(1+Prisudvikling2019)^4</f>
        <v>-226784.87570908008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6" t="s">
        <v>122</v>
      </c>
      <c r="C17" s="97"/>
      <c r="D17" s="97"/>
      <c r="E17" s="97"/>
      <c r="F17" s="97"/>
      <c r="G17" s="97"/>
      <c r="H17" s="98"/>
      <c r="I17" s="1"/>
    </row>
    <row r="18" spans="1:9" x14ac:dyDescent="0.25">
      <c r="A18" s="1"/>
      <c r="B18" s="99" t="s">
        <v>122</v>
      </c>
      <c r="C18" s="100"/>
      <c r="D18" s="101"/>
      <c r="E18" s="25">
        <v>1108948.4438812118</v>
      </c>
      <c r="F18" s="22" t="s">
        <v>3</v>
      </c>
      <c r="G18" s="14"/>
      <c r="H18" s="31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31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277237.11097030295</v>
      </c>
      <c r="F20" s="22" t="s">
        <v>3</v>
      </c>
      <c r="G20" s="14"/>
      <c r="H20" s="31"/>
      <c r="I20" s="1"/>
    </row>
    <row r="21" spans="1:9" x14ac:dyDescent="0.25">
      <c r="A21" s="1"/>
      <c r="B21" s="96" t="s">
        <v>131</v>
      </c>
      <c r="C21" s="97"/>
      <c r="D21" s="97"/>
      <c r="E21" s="97"/>
      <c r="F21" s="98"/>
      <c r="G21" s="20">
        <f>E20</f>
        <v>277237.11097030295</v>
      </c>
      <c r="H21" s="21" t="s">
        <v>3</v>
      </c>
      <c r="I21" s="1"/>
    </row>
    <row r="22" spans="1:9" x14ac:dyDescent="0.25">
      <c r="A22" s="1"/>
      <c r="B22" s="96" t="s">
        <v>127</v>
      </c>
      <c r="C22" s="97"/>
      <c r="D22" s="97"/>
      <c r="E22" s="97"/>
      <c r="F22" s="98"/>
      <c r="G22" s="20">
        <f>G21*(1+Prisudvikling2018)*(1+Prisudvikling2019)^4</f>
        <v>301646.83420643862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2018-08-27T12:57:46Z</dcterms:modified>
</cp:coreProperties>
</file>