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Vejen Renseanlæg (S101)\ØR2024\"/>
    </mc:Choice>
  </mc:AlternateContent>
  <xr:revisionPtr revIDLastSave="0" documentId="13_ncr:1_{23C66CB5-7C3B-4465-870B-6F834D01A2BA}"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C39" i="2" l="1"/>
  <c r="C36" i="2"/>
  <c r="E25" i="44" l="1"/>
  <c r="E16" i="44" l="1"/>
  <c r="E18" i="44" s="1"/>
  <c r="E17" i="44"/>
  <c r="E29" i="44" l="1"/>
  <c r="E31" i="44" s="1"/>
  <c r="C9" i="2"/>
  <c r="C20" i="15" l="1"/>
  <c r="C32" i="2"/>
  <c r="E30" i="20"/>
  <c r="E29" i="20"/>
  <c r="E31" i="20" s="1"/>
  <c r="E24" i="20"/>
  <c r="E23" i="20"/>
  <c r="E25" i="20" s="1"/>
  <c r="G18" i="41" l="1"/>
  <c r="E17" i="20" l="1"/>
  <c r="E11" i="20"/>
  <c r="C22" i="23" l="1"/>
  <c r="C22" i="22"/>
  <c r="C22" i="15"/>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C19" i="2"/>
  <c r="G52" i="30" l="1"/>
  <c r="G54" i="30" s="1"/>
  <c r="G58" i="30" s="1"/>
  <c r="G59" i="36"/>
  <c r="C13" i="15" s="1"/>
  <c r="C16" i="2"/>
  <c r="C17" i="2" s="1"/>
  <c r="C18" i="2" l="1"/>
  <c r="C20"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<sst xmlns="http://schemas.openxmlformats.org/spreadsheetml/2006/main" count="657" uniqueCount="292">
  <si>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</si>
  <si>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</si>
  <si>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</si>
  <si>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</si>
  <si>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</si>
  <si>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</si>
  <si>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</si>
  <si>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</si>
  <si>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</si>
  <si>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</si>
  <si>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</si>
  <si>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</si>
  <si>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</si>
  <si>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</si>
  <si>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</si>
  <si>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</si>
  <si>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</si>
  <si>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</si>
  <si>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</si>
  <si>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</si>
  <si>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</si>
  <si>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</si>
  <si>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</si>
  <si>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</si>
  <si>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</si>
  <si>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</si>
  <si>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</si>
  <si>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</si>
  <si>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</si>
  <si>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</si>
  <si>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</si>
  <si>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</si>
  <si>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</si>
  <si>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</si>
  <si>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</si>
  <si>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</si>
  <si>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</si>
  <si>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</si>
  <si>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</si>
  <si>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</si>
  <si>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</si>
  <si>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</si>
  <si>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</si>
  <si>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</si>
  <si>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</si>
  <si>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</si>
  <si>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</si>
  <si>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</si>
  <si>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</si>
  <si>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</si>
  <si>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</si>
  <si>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</si>
  <si>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</si>
  <si>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</si>
  <si>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</si>
  <si>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</si>
  <si>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</si>
  <si>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</si>
  <si>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</si>
  <si>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</si>
  <si>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</si>
  <si>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</si>
  <si>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</si>
  <si>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</si>
  <si>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</si>
  <si>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</si>
  <si>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</si>
  <si>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</si>
  <si>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</si>
  <si>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</si>
  <si>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</si>
  <si>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</si>
  <si>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</si>
  <si>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</si>
  <si>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</si>
  <si>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</si>
  <si>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</si>
  <si>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</si>
  <si>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</si>
  <si>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</si>
  <si>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</si>
  <si>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</si>
  <si>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</si>
  <si>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</si>
  <si>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</si>
  <si>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</si>
  <si>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</si>
  <si>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</si>
  <si>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</si>
  <si>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</si>
  <si>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</si>
  <si>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</si>
  <si>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</si>
  <si>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</si>
  <si>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</si>
  <si>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</si>
  <si>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</si>
  <si>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</si>
  <si>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</si>
  <si>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</si>
  <si>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</si>
  <si>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</si>
  <si>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</si>
  <si>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</si>
  <si>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</si>
  <si>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</si>
  <si>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</si>
  <si>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</si>
  <si>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</si>
  <si>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</si>
  <si>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</si>
  <si>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</si>
  <si>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</si>
  <si>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</si>
  <si>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</si>
  <si>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</si>
  <si>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</si>
  <si>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</si>
  <si>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</si>
  <si>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</si>
  <si>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</si>
  <si>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</si>
  <si>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</si>
  <si>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</si>
  <si>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</si>
  <si>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</si>
  <si>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</si>
  <si>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</si>
  <si>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</si>
  <si>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</si>
  <si>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</si>
  <si>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</si>
  <si>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</si>
  <si>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</si>
  <si>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</si>
  <si>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</si>
  <si>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</si>
  <si>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</si>
  <si>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</si>
  <si>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</si>
  <si>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</si>
  <si>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</si>
  <si>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</si>
  <si>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</si>
  <si>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</si>
  <si>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</si>
  <si>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</si>
  <si>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</si>
  <si>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</si>
  <si>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</si>
  <si>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</si>
  <si>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</si>
  <si>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</si>
  <si>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</si>
  <si>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</si>
  <si>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</si>
  <si>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</si>
  <si>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</si>
  <si>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</si>
  <si>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</si>
  <si>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</si>
  <si>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</si>
  <si>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</si>
  <si>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</si>
  <si>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</si>
  <si>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</si>
  <si>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</si>
  <si>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</si>
  <si>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</si>
  <si>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</si>
  <si>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</si>
  <si>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</si>
  <si>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</si>
  <si>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</si>
  <si>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</si>
  <si>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</si>
  <si>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</si>
  <si>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</si>
  <si>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</si>
  <si>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</si>
  <si>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</si>
  <si>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</si>
  <si>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</si>
  <si>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</si>
  <si>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</si>
  <si>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</si>
  <si>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</si>
  <si>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</si>
  <si>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</si>
  <si>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</si>
  <si>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</si>
  <si>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</si>
  <si>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</si>
  <si>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</si>
  <si>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</si>
  <si>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</si>
  <si>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</si>
  <si>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</si>
  <si>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</si>
  <si>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</si>
  <si>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</si>
  <si>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</si>
  <si>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</si>
  <si>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</si>
  <si>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</si>
  <si>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</si>
  <si>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</si>
  <si>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</si>
  <si>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</si>
  <si>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</si>
  <si>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</si>
  <si>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</si>
  <si>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</si>
  <si>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</si>
  <si>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</si>
  <si>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</si>
  <si>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</si>
  <si>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</si>
  <si>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</si>
  <si>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</si>
  <si>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</si>
  <si>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</si>
  <si>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</si>
  <si>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</si>
  <si>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</si>
  <si>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</si>
  <si>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</si>
  <si>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</si>
  <si>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</si>
  <si>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</si>
  <si>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</si>
  <si>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</si>
  <si>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</si>
  <si>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</si>
  <si>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</si>
  <si>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</si>
  <si>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</si>
  <si>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</si>
  <si>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</si>
  <si>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</si>
  <si>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</si>
  <si>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</si>
  <si>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</si>
  <si>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</si>
  <si>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</si>
  <si>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</si>
  <si>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</si>
  <si>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</si>
  <si>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</si>
  <si>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</si>
  <si>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</si>
  <si>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</si>
  <si>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</si>
  <si>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</si>
  <si>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</si>
  <si>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</si>
  <si>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</si>
  <si>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</si>
  <si>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</si>
  <si>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</si>
  <si>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</si>
  <si>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</si>
  <si>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</si>
  <si>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</si>
  <si>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</si>
  <si>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</si>
  <si>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</si>
  <si>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</si>
  <si>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</si>
  <si>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</si>
  <si>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</si>
  <si>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</si>
  <si>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</si>
  <si>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</si>
  <si>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</si>
  <si>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</si>
  <si>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</si>
  <si>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</si>
  <si>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</si>
  <si>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</si>
  <si>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</si>
  <si>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</si>
  <si>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</si>
  <si>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</si>
  <si>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</si>
  <si>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</si>
  <si>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</si>
  <si>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</si>
  <si>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Nye tilslutninger</t>
  </si>
  <si>
    <t>Ingen engangstillæg</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</si>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</sst>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BreakPreview" zoomScale="60"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Rk+v4sM1Ykafl6T8Bs8UUbbzAQtCs4DZ/G0ZXS0oVHAj8Uyxk+BlbRGBipUiHUN7z6c95K6CjuSf0QOE7ezHaA==" saltValue="w0ROPN/YjX9aveYt2LPhl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272</v>
      </c>
      <c r="C10" s="9">
        <v>1454099</v>
      </c>
      <c r="D10" s="14" t="s">
        <v>3</v>
      </c>
      <c r="E10" s="1"/>
      <c r="F10" s="1"/>
    </row>
    <row r="11" spans="1:6" ht="15" customHeight="1" x14ac:dyDescent="0.25">
      <c r="A11" s="1"/>
      <c r="B11" s="81" t="s">
        <v>273</v>
      </c>
      <c r="C11" s="9">
        <v>101083</v>
      </c>
      <c r="D11" s="14" t="s">
        <v>3</v>
      </c>
      <c r="E11" s="1"/>
      <c r="F11" s="1"/>
    </row>
    <row r="12" spans="1:6" ht="26.25" x14ac:dyDescent="0.25">
      <c r="A12" s="1"/>
      <c r="B12" s="29" t="s">
        <v>274</v>
      </c>
      <c r="C12" s="9">
        <v>168686</v>
      </c>
      <c r="D12" s="14" t="s">
        <v>3</v>
      </c>
      <c r="E12" s="1"/>
      <c r="F12" s="1"/>
    </row>
    <row r="13" spans="1:6" x14ac:dyDescent="0.25">
      <c r="A13" s="1"/>
      <c r="B13" s="81" t="s">
        <v>275</v>
      </c>
      <c r="C13" s="9">
        <v>98684</v>
      </c>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1822552</v>
      </c>
      <c r="D20" s="13" t="s">
        <v>3</v>
      </c>
      <c r="E20" s="1"/>
      <c r="F20" s="1"/>
    </row>
    <row r="21" spans="1:6" x14ac:dyDescent="0.25">
      <c r="A21" s="1"/>
      <c r="B21" s="33" t="s">
        <v>227</v>
      </c>
      <c r="C21" s="12">
        <f>C20*(1+'Fane 15. Nøgletal'!C16)^2</f>
        <v>2128975.1890892801</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gDwe199vaYd2uFZiLed7mBJ2Ew4ZvzZCR1I7UgjqM/PhKLRcoWfaUV5ZHrjVYURUzuvYYUpJjYhXCpB2+NUZIg==" saltValue="A5HdFIcAOZgfQb335Xatm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FC135-4588-4191-BB30-B6805CC85B14}">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276</v>
      </c>
      <c r="C9" s="121"/>
      <c r="D9" s="122"/>
      <c r="E9" s="9">
        <v>2628798</v>
      </c>
      <c r="F9" s="14" t="s">
        <v>3</v>
      </c>
      <c r="G9" s="1"/>
    </row>
    <row r="10" spans="1:7" ht="15" customHeight="1" x14ac:dyDescent="0.25">
      <c r="A10" s="1"/>
      <c r="B10" s="120" t="s">
        <v>143</v>
      </c>
      <c r="C10" s="121"/>
      <c r="D10" s="122"/>
      <c r="E10" s="9">
        <v>-185082</v>
      </c>
      <c r="F10" s="14" t="s">
        <v>3</v>
      </c>
      <c r="G10" s="1"/>
    </row>
    <row r="11" spans="1:7" ht="15" customHeight="1" x14ac:dyDescent="0.25">
      <c r="A11" s="1"/>
      <c r="B11" s="120" t="s">
        <v>277</v>
      </c>
      <c r="C11" s="121"/>
      <c r="D11" s="122"/>
      <c r="E11" s="9">
        <v>-431532</v>
      </c>
      <c r="F11" s="14" t="s">
        <v>3</v>
      </c>
      <c r="G11" s="1"/>
    </row>
    <row r="12" spans="1:7" x14ac:dyDescent="0.25">
      <c r="A12" s="1"/>
      <c r="B12" s="33"/>
      <c r="C12" s="28"/>
      <c r="D12" s="28"/>
      <c r="E12" s="28"/>
      <c r="F12" s="19"/>
      <c r="G12" s="1"/>
    </row>
    <row r="13" spans="1:7" ht="42" customHeight="1" x14ac:dyDescent="0.25">
      <c r="A13" s="1"/>
      <c r="B13" s="114" t="s">
        <v>278</v>
      </c>
      <c r="C13" s="115"/>
      <c r="D13" s="115"/>
      <c r="E13" s="115"/>
      <c r="F13" s="116"/>
      <c r="G13" s="1"/>
    </row>
    <row r="14" spans="1:7" ht="15" customHeight="1" x14ac:dyDescent="0.25">
      <c r="A14" s="1"/>
      <c r="B14" s="1"/>
      <c r="C14" s="1"/>
      <c r="D14" s="1"/>
      <c r="E14" s="1"/>
      <c r="F14" s="1"/>
      <c r="G14" s="1"/>
    </row>
    <row r="15" spans="1:7" x14ac:dyDescent="0.25">
      <c r="A15" s="1"/>
      <c r="B15" s="75" t="s">
        <v>279</v>
      </c>
      <c r="C15" s="76"/>
      <c r="D15" s="76"/>
      <c r="E15" s="76"/>
      <c r="F15" s="77"/>
      <c r="G15" s="1"/>
    </row>
    <row r="16" spans="1:7" x14ac:dyDescent="0.25">
      <c r="A16" s="1"/>
      <c r="B16" s="78" t="s">
        <v>280</v>
      </c>
      <c r="C16" s="79"/>
      <c r="D16" s="80"/>
      <c r="E16" s="9">
        <f>IF(E11&lt;0,E11,0)</f>
        <v>-431532</v>
      </c>
      <c r="F16" s="14" t="s">
        <v>3</v>
      </c>
      <c r="G16" s="1"/>
    </row>
    <row r="17" spans="1:7" x14ac:dyDescent="0.25">
      <c r="A17" s="1"/>
      <c r="B17" s="78" t="s">
        <v>281</v>
      </c>
      <c r="C17" s="79"/>
      <c r="D17" s="80"/>
      <c r="E17" s="9">
        <f>IF(SUM(E10)&gt;0,SUM(E10),0)</f>
        <v>0</v>
      </c>
      <c r="F17" s="14" t="s">
        <v>3</v>
      </c>
      <c r="G17" s="1"/>
    </row>
    <row r="18" spans="1:7" x14ac:dyDescent="0.25">
      <c r="A18" s="1"/>
      <c r="B18" s="82" t="s">
        <v>282</v>
      </c>
      <c r="C18" s="83"/>
      <c r="D18" s="84"/>
      <c r="E18" s="62">
        <f>IF(SUM(E16:E17)&gt;0,0,SUM(E16:E17))</f>
        <v>-431532</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283</v>
      </c>
      <c r="C21" s="76"/>
      <c r="D21" s="76"/>
      <c r="E21" s="76"/>
      <c r="F21" s="77"/>
      <c r="G21" s="1"/>
    </row>
    <row r="22" spans="1:7" x14ac:dyDescent="0.25">
      <c r="A22" s="1"/>
      <c r="B22" s="78" t="s">
        <v>284</v>
      </c>
      <c r="C22" s="79"/>
      <c r="D22" s="80"/>
      <c r="E22" s="9">
        <v>19512893</v>
      </c>
      <c r="F22" s="14" t="s">
        <v>3</v>
      </c>
      <c r="G22" s="1"/>
    </row>
    <row r="23" spans="1:7" x14ac:dyDescent="0.25">
      <c r="A23" s="1"/>
      <c r="B23" s="78" t="s">
        <v>285</v>
      </c>
      <c r="C23" s="79"/>
      <c r="D23" s="80"/>
      <c r="E23" s="9">
        <v>20041985</v>
      </c>
      <c r="F23" s="14" t="s">
        <v>3</v>
      </c>
      <c r="G23" s="1"/>
    </row>
    <row r="24" spans="1:7" x14ac:dyDescent="0.25">
      <c r="A24" s="1"/>
      <c r="B24" s="78" t="s">
        <v>30</v>
      </c>
      <c r="C24" s="79"/>
      <c r="D24" s="80"/>
      <c r="E24" s="9">
        <v>0</v>
      </c>
      <c r="F24" s="14" t="s">
        <v>3</v>
      </c>
      <c r="G24" s="1"/>
    </row>
    <row r="25" spans="1:7" x14ac:dyDescent="0.25">
      <c r="A25" s="1"/>
      <c r="B25" s="82" t="s">
        <v>286</v>
      </c>
      <c r="C25" s="83"/>
      <c r="D25" s="84"/>
      <c r="E25" s="62">
        <f>E22-E23-E24</f>
        <v>-529092</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287</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-960624</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-480312</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3Ega9X0GdITrB4xsbhsml05LIrfFb+TXC50P+d+hv9/bvE9gcNessXdVLAXWHiATQcCA1fAjL4jjZ4abpzAwTQ==" saltValue="HuVh3zXKb5bPhq86J3zBjQ=="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O4cz3JOFZzhvTwNFnupWOnpRYYRnEtsI4ts8uUNwAnJNS6xjW1PuUQWiYhR3OhovY5Rf3701nXajXuOUkQdGIw==" saltValue="MzkZmJtbK+D4E4TVNwpUrA=="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0</v>
      </c>
      <c r="F14" s="8" t="s">
        <v>3</v>
      </c>
      <c r="G14" s="1"/>
    </row>
    <row r="15" spans="1:7" x14ac:dyDescent="0.25">
      <c r="A15" s="1"/>
      <c r="B15" s="114" t="s">
        <v>231</v>
      </c>
      <c r="C15" s="115"/>
      <c r="D15" s="116"/>
      <c r="E15" s="7">
        <v>0</v>
      </c>
      <c r="F15" s="8" t="s">
        <v>3</v>
      </c>
      <c r="G15" s="1"/>
    </row>
    <row r="16" spans="1:7" x14ac:dyDescent="0.25">
      <c r="A16" s="1"/>
      <c r="B16" s="135" t="s">
        <v>83</v>
      </c>
      <c r="C16" s="136"/>
      <c r="D16" s="137"/>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jVIg0Db+PMp3Ve34zFnxXpvEXqi2kFHneriNpY0+evqy3vsS1L8LOmfPUL62qcaxU84bSjeYQtQRRIObiQ+0Q==" saltValue="CBoxjg1Qqe+w5nQrKKgiO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7XX8Tag46v4Sq2l0G6D2uhISBLXZVVe47nZGfwEij0YtVTi7Dav6DRde04XEXQmfzfUjEdoZ9Ms9oHkpyr+YjA==" saltValue="Y4XhTJnujmV1jd3d1KGpT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288</v>
      </c>
      <c r="C11" s="21">
        <v>55760</v>
      </c>
      <c r="D11" s="14" t="s">
        <v>3</v>
      </c>
      <c r="E11" s="9">
        <v>0</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55760</v>
      </c>
      <c r="D19" s="13" t="s">
        <v>3</v>
      </c>
      <c r="E19" s="12">
        <f>SUM(E10:E18)</f>
        <v>0</v>
      </c>
      <c r="F19" s="13" t="s">
        <v>3</v>
      </c>
      <c r="G19" s="1"/>
    </row>
    <row r="20" spans="1:7" x14ac:dyDescent="0.25">
      <c r="A20" s="1"/>
      <c r="B20" s="33" t="s">
        <v>233</v>
      </c>
      <c r="C20" s="12">
        <f>C19*(1+'Fane 15. Nøgletal'!C16)</f>
        <v>60265.407999999996</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9OwPphIsUvHgx/iFjhmKlc/rOA3u5sgxJhJtmRERDfSxhV8p+LNnUf3hgUo0k1xZtuBNMvkdKk4Ekfp6QS/lhA==" saltValue="lpIQb+CtcRtiDMUmLpzAg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t="s">
        <v>289</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yC7BTpOqma0Plc6WYR2S+vTq78Z5cyysaeJolVkJ5hJ624ozyAfa85K8+wKX6kw0AsK9kcV49eosuurKfWQng==" saltValue="wOhVouU1u5KKRp+8jPfV4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7" t="s">
        <v>111</v>
      </c>
      <c r="C13" s="118"/>
      <c r="D13" s="119"/>
      <c r="E13" s="12">
        <f>SUM(E10:E12)*(1+'Fane 15. Nøgletal'!C16)^2</f>
        <v>0</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7" t="s">
        <v>125</v>
      </c>
      <c r="C19" s="118"/>
      <c r="D19" s="119"/>
      <c r="E19" s="12">
        <f>SUM(E16:E18)*(1+'Fane 15. Nøgletal'!C16)^3</f>
        <v>0</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7" t="s">
        <v>146</v>
      </c>
      <c r="C25" s="118"/>
      <c r="D25" s="119"/>
      <c r="E25" s="12">
        <f>SUM(E22:E24)*(1+'Fane 15. Nøgletal'!C16)^4</f>
        <v>0</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7" t="s">
        <v>238</v>
      </c>
      <c r="C31" s="118"/>
      <c r="D31" s="11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8/00K1xBxPqNyFV6mkIJhMpX/CA1fzKs5rFYsJkpfnbcP6xOYyf9Eptan01yCv+tmK69Qtm/P8+eH9UAHOLT6A==" saltValue="VCvEMn2L0SImeYtheWSU8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lMMjk6z0y65ZIV/w/u7HCnpGwEUXZ2mzsgekieq4+rS805PlAmD3LZvipNsfqyI1eLH59YbZXXQ+3UBU0b14QA==" saltValue="2SJ2oyQC1Pzp2nxEz+ybt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WwXBfU/+l2dTh2jCLLVCRNYqGq1WC1KRQ4MeBBgv5xpio0UVkhbXK0jOf6Vw+wbJMnPG9niUBTFtqCGejhaww==" saltValue="DiYuJwXiYwsKYzuN6B49u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showWhiteSpace="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20563779.367249213</v>
      </c>
      <c r="D9" s="8" t="s">
        <v>3</v>
      </c>
      <c r="E9" s="1"/>
    </row>
    <row r="10" spans="1:5" ht="17.25" customHeight="1" x14ac:dyDescent="0.25">
      <c r="A10" s="1"/>
      <c r="B10" s="88" t="s">
        <v>36</v>
      </c>
      <c r="C10" s="7">
        <f>'Fane 11.1. Varige tillæg'!C20</f>
        <v>60265.407999999996</v>
      </c>
      <c r="D10" s="8" t="s">
        <v>3</v>
      </c>
      <c r="E10" s="1"/>
    </row>
    <row r="11" spans="1:5" ht="17.25" customHeight="1" x14ac:dyDescent="0.25">
      <c r="A11" s="1"/>
      <c r="B11" s="88" t="s">
        <v>37</v>
      </c>
      <c r="C11" s="9">
        <f>'Fane 11.1. Varige tillæg'!E20</f>
        <v>0</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1666422.8178401364</v>
      </c>
      <c r="D16" s="8" t="s">
        <v>3</v>
      </c>
      <c r="E16" s="1"/>
    </row>
    <row r="17" spans="1:5" ht="17.25" customHeight="1" x14ac:dyDescent="0.25">
      <c r="A17" s="1"/>
      <c r="B17" s="88" t="s">
        <v>10</v>
      </c>
      <c r="C17" s="41">
        <f>-SUM(C9,C10:C16)*'Fane 5. Individuelt eff. krav'!G9</f>
        <v>0</v>
      </c>
      <c r="D17" s="8" t="s">
        <v>3</v>
      </c>
      <c r="E17" s="1"/>
    </row>
    <row r="18" spans="1:5" ht="17.25" customHeight="1" x14ac:dyDescent="0.25">
      <c r="A18" s="1"/>
      <c r="B18" s="88" t="s">
        <v>23</v>
      </c>
      <c r="C18" s="41">
        <f>-'Fane 4.1. Gen. krav - drift'!G54</f>
        <v>-266418.0636634914</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22024049.529425859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2128975.1890892801</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72">
        <f>'Fane 11.2. Engangstillæg'!C14</f>
        <v>0</v>
      </c>
      <c r="D26" s="8" t="s">
        <v>3</v>
      </c>
      <c r="E26" s="1"/>
    </row>
    <row r="27" spans="1:5" ht="15" customHeight="1" x14ac:dyDescent="0.25">
      <c r="A27" s="1"/>
      <c r="B27" s="88" t="s">
        <v>70</v>
      </c>
      <c r="C27" s="72">
        <f>'Fane 11.2. Engangstillæg'!E14</f>
        <v>0</v>
      </c>
      <c r="D27" s="8" t="s">
        <v>3</v>
      </c>
      <c r="E27" s="1"/>
    </row>
    <row r="28" spans="1:5" ht="15" customHeight="1" x14ac:dyDescent="0.25">
      <c r="A28" s="1"/>
      <c r="B28" s="88" t="s">
        <v>161</v>
      </c>
      <c r="C28" s="72">
        <f>-C26*('Fane 15. Nøgletal'!C33+'Fane 5. Individuelt eff. krav'!G9)</f>
        <v>0</v>
      </c>
      <c r="D28" s="8" t="s">
        <v>3</v>
      </c>
      <c r="E28" s="1"/>
    </row>
    <row r="29" spans="1:5" ht="15" customHeight="1" x14ac:dyDescent="0.25">
      <c r="A29" s="1"/>
      <c r="B29" s="88"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-480312</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290</v>
      </c>
      <c r="C37" s="28"/>
      <c r="D37" s="19"/>
      <c r="E37" s="1"/>
    </row>
    <row r="38" spans="1:5" x14ac:dyDescent="0.25">
      <c r="A38" s="1"/>
      <c r="B38" s="70" t="s">
        <v>291</v>
      </c>
      <c r="C38" s="10">
        <v>694761</v>
      </c>
      <c r="D38" s="11" t="s">
        <v>3</v>
      </c>
      <c r="E38" s="1"/>
    </row>
    <row r="39" spans="1:5" x14ac:dyDescent="0.25">
      <c r="A39" s="1"/>
      <c r="B39" s="33" t="s">
        <v>108</v>
      </c>
      <c r="C39" s="49">
        <f>SUM(C34,C32,C24,C30,C22,C20,C36,C38)</f>
        <v>24367473.718515139</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Ny3ilOHiyyXLYxuzMwix99GYg4Tqi/TXwbu0twOEwFS93eOxl1jWhcgr7nTKa67N9eyPvoYCtzp0rVkQLTq4ww==" saltValue="Tug8iPIo2TIAzoM8HdP3f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90fFodcdl12lH0aR4c2dgB2gqblX7RKVB54rgvchuyuPYHVfXlIry1zcsNsuKWkHCzsMxV/Ntvkmv9oweXvgWg==" saltValue="k7Z4qBaAE57jGVeW4XdhA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22024049.529425859</v>
      </c>
      <c r="D9" s="8" t="s">
        <v>3</v>
      </c>
      <c r="E9" s="1"/>
    </row>
    <row r="10" spans="1:5" ht="15" customHeight="1" x14ac:dyDescent="0.25">
      <c r="A10" s="1"/>
      <c r="B10" s="26" t="s">
        <v>19</v>
      </c>
      <c r="C10" s="7">
        <f>SUM(C9:C9)*'Fane 15. Nøgletal'!C16</f>
        <v>1779543.2019776094</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-282185.75034335139</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23521406.981060117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2300996.3843676937</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-480312</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25342091.365427811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92RvdmxMN3EfiFFMKlMqW0IDqmFhja67bvHoZVJiqBRBfHqYhO2VIw7wsOA8Q/C0Id0an1pXemrI81M+z81qw==" saltValue="xxvFwgFK/ftN/XRSibTqT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23521406.981060117</v>
      </c>
      <c r="D9" s="8" t="s">
        <v>3</v>
      </c>
      <c r="E9" s="1"/>
    </row>
    <row r="10" spans="1:5" ht="15" customHeight="1" x14ac:dyDescent="0.25">
      <c r="A10" s="1"/>
      <c r="B10" s="26" t="s">
        <v>19</v>
      </c>
      <c r="C10" s="7">
        <f>SUM(C9:C9)*'Fane 15. Nøgletal'!C16</f>
        <v>1900529.6840696575</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-298886.63179167232</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25123050.0333381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2486916.8922246033</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27609966.925562702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28Y5FxM4Tj0UWUGr/P6r4ycKtAuTGsn9rP8lfSWGEQvhWF2IZM8zPAqnBMZ8LY9TM/RQs1BWxL+pavwJyhqnfw==" saltValue="KaAEN3qhlPKROYxVEr439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25123050.0333381</v>
      </c>
      <c r="D9" s="8" t="s">
        <v>3</v>
      </c>
      <c r="E9" s="1"/>
      <c r="F9" s="1"/>
    </row>
    <row r="10" spans="1:6" ht="15" customHeight="1" x14ac:dyDescent="0.25">
      <c r="A10" s="1"/>
      <c r="B10" s="26" t="s">
        <v>19</v>
      </c>
      <c r="C10" s="7">
        <f>SUM(C9:C9)*'Fane 15. Nøgletal'!C16</f>
        <v>2029942.4426937185</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-316575.93820763065</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26836416.537824187</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2687859.7771163513</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29524276.314940538</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FsFjXiZ3dmfNSyxPmTNKU8/Du+YQ1nJ2v/rD33KydXMql8JS4tcoDHHf2PDGISbFNFKNiafxtzwxsPCf7C5SHw==" saltValue="l22V91XRaY7r4X0umh+b8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20625133.409034267</v>
      </c>
      <c r="D9" s="8" t="s">
        <v>3</v>
      </c>
      <c r="E9" s="1"/>
    </row>
    <row r="10" spans="1:5" x14ac:dyDescent="0.25">
      <c r="A10" s="1"/>
      <c r="B10" s="88" t="s">
        <v>36</v>
      </c>
      <c r="C10" s="7">
        <v>52650.939600000005</v>
      </c>
      <c r="D10" s="8" t="s">
        <v>3</v>
      </c>
      <c r="E10" s="1"/>
    </row>
    <row r="11" spans="1:5" x14ac:dyDescent="0.25">
      <c r="A11" s="1"/>
      <c r="B11" s="88" t="s">
        <v>37</v>
      </c>
      <c r="C11" s="9">
        <v>284246.31</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80056.482335573077</v>
      </c>
      <c r="D16" s="8" t="s">
        <v>3</v>
      </c>
      <c r="E16" s="1"/>
    </row>
    <row r="17" spans="1:5" x14ac:dyDescent="0.25">
      <c r="A17" s="1"/>
      <c r="B17" s="88" t="s">
        <v>10</v>
      </c>
      <c r="C17" s="41">
        <v>-89439.379403108906</v>
      </c>
      <c r="D17" s="8" t="s">
        <v>3</v>
      </c>
      <c r="E17" s="1"/>
    </row>
    <row r="18" spans="1:5" x14ac:dyDescent="0.25">
      <c r="A18" s="1"/>
      <c r="B18" s="88" t="s">
        <v>23</v>
      </c>
      <c r="C18" s="41">
        <v>-250301.52136377001</v>
      </c>
      <c r="D18" s="8" t="s">
        <v>3</v>
      </c>
      <c r="E18" s="1"/>
    </row>
    <row r="19" spans="1:5" x14ac:dyDescent="0.25">
      <c r="A19" s="1"/>
      <c r="B19" s="88" t="s">
        <v>24</v>
      </c>
      <c r="C19" s="41">
        <v>-138566.87295374702</v>
      </c>
      <c r="D19" s="8" t="s">
        <v>3</v>
      </c>
      <c r="E19" s="47"/>
    </row>
    <row r="20" spans="1:5" x14ac:dyDescent="0.25">
      <c r="A20" s="1"/>
      <c r="B20" s="82" t="s">
        <v>21</v>
      </c>
      <c r="C20" s="10">
        <v>20563779.367249213</v>
      </c>
      <c r="D20" s="11" t="s">
        <v>3</v>
      </c>
      <c r="E20" s="1"/>
    </row>
    <row r="21" spans="1:5" x14ac:dyDescent="0.25">
      <c r="A21" s="1"/>
      <c r="B21" s="33" t="s">
        <v>12</v>
      </c>
      <c r="C21" s="28"/>
      <c r="D21" s="19"/>
      <c r="E21" s="1"/>
    </row>
    <row r="22" spans="1:5" x14ac:dyDescent="0.25">
      <c r="A22" s="1"/>
      <c r="B22" s="31" t="s">
        <v>12</v>
      </c>
      <c r="C22" s="10">
        <v>2440286.8686072002</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69">
        <v>251768.14756416003</v>
      </c>
      <c r="D26" s="8" t="s">
        <v>3</v>
      </c>
      <c r="E26" s="1"/>
    </row>
    <row r="27" spans="1:5" x14ac:dyDescent="0.25">
      <c r="A27" s="1"/>
      <c r="B27" s="88" t="s">
        <v>70</v>
      </c>
      <c r="C27" s="69">
        <v>0</v>
      </c>
      <c r="D27" s="8" t="s">
        <v>3</v>
      </c>
      <c r="E27" s="1"/>
    </row>
    <row r="28" spans="1:5" x14ac:dyDescent="0.25">
      <c r="A28" s="1"/>
      <c r="B28" s="88" t="s">
        <v>161</v>
      </c>
      <c r="C28" s="69">
        <v>-6105.5033190495396</v>
      </c>
      <c r="D28" s="8" t="s">
        <v>3</v>
      </c>
      <c r="E28" s="1"/>
    </row>
    <row r="29" spans="1:5" x14ac:dyDescent="0.25">
      <c r="A29" s="1"/>
      <c r="B29" s="88" t="s">
        <v>162</v>
      </c>
      <c r="C29" s="69">
        <v>0</v>
      </c>
      <c r="D29" s="8" t="s">
        <v>3</v>
      </c>
      <c r="E29" s="1"/>
    </row>
    <row r="30" spans="1:5" x14ac:dyDescent="0.25">
      <c r="A30" s="1"/>
      <c r="B30" s="70" t="s">
        <v>75</v>
      </c>
      <c r="C30" s="10">
        <v>245662.64424511048</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23249728.880101524</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q3gt6KWYJbHa5YSFFSWKhyhSwRj/YSVhu9ZB9qJU4yi/feIl49vSxvySXUvc/E8y0vLLXEOMulGfQ7IrLdIG8Q==" saltValue="8YQaKR/rZB7BRe3/jf/HLA=="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7" t="s">
        <v>46</v>
      </c>
      <c r="C4" s="118"/>
      <c r="D4" s="118"/>
      <c r="E4" s="118"/>
      <c r="F4" s="118"/>
      <c r="G4" s="118"/>
      <c r="H4" s="119"/>
      <c r="I4" s="1"/>
    </row>
    <row r="5" spans="1:9" x14ac:dyDescent="0.25">
      <c r="A5" s="1"/>
      <c r="B5" s="120" t="s">
        <v>38</v>
      </c>
      <c r="C5" s="121"/>
      <c r="D5" s="121"/>
      <c r="E5" s="121"/>
      <c r="F5" s="122"/>
      <c r="G5" s="63">
        <v>13032627</v>
      </c>
      <c r="H5" s="14" t="s">
        <v>3</v>
      </c>
      <c r="I5" s="1"/>
    </row>
    <row r="6" spans="1:9" x14ac:dyDescent="0.25">
      <c r="A6" s="1"/>
      <c r="B6" s="114" t="s">
        <v>102</v>
      </c>
      <c r="C6" s="115"/>
      <c r="D6" s="115"/>
      <c r="E6" s="115"/>
      <c r="F6" s="116"/>
      <c r="G6" s="66">
        <v>3822166</v>
      </c>
      <c r="H6" s="14" t="s">
        <v>3</v>
      </c>
      <c r="I6" s="1"/>
    </row>
    <row r="7" spans="1:9" x14ac:dyDescent="0.25">
      <c r="A7" s="1"/>
      <c r="B7" s="120" t="s">
        <v>39</v>
      </c>
      <c r="C7" s="121"/>
      <c r="D7" s="121"/>
      <c r="E7" s="121"/>
      <c r="F7" s="122"/>
      <c r="G7" s="23">
        <f>SUM(G5:G6)*'Fane 15. Nøgletal'!C33</f>
        <v>337095.86</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12917702.934950002</v>
      </c>
      <c r="H11" s="14" t="s">
        <v>3</v>
      </c>
      <c r="I11" s="1"/>
    </row>
    <row r="12" spans="1:9" ht="15" customHeight="1" x14ac:dyDescent="0.25">
      <c r="A12" s="1"/>
      <c r="B12" s="120" t="s">
        <v>103</v>
      </c>
      <c r="C12" s="121"/>
      <c r="D12" s="121"/>
      <c r="E12" s="121"/>
      <c r="F12" s="122"/>
      <c r="G12" s="66">
        <v>0.46321992882527413</v>
      </c>
      <c r="H12" s="14" t="s">
        <v>3</v>
      </c>
      <c r="I12" s="1"/>
    </row>
    <row r="13" spans="1:9" x14ac:dyDescent="0.25">
      <c r="A13" s="1"/>
      <c r="B13" s="114" t="s">
        <v>100</v>
      </c>
      <c r="C13" s="115"/>
      <c r="D13" s="115"/>
      <c r="E13" s="115"/>
      <c r="F13" s="116"/>
      <c r="G13" s="66">
        <v>2399063.5350000001</v>
      </c>
      <c r="H13" s="14" t="s">
        <v>3</v>
      </c>
      <c r="I13" s="1"/>
    </row>
    <row r="14" spans="1:9" x14ac:dyDescent="0.25">
      <c r="A14" s="1"/>
      <c r="B14" s="123" t="s">
        <v>244</v>
      </c>
      <c r="C14" s="124"/>
      <c r="D14" s="124"/>
      <c r="E14" s="124"/>
      <c r="F14" s="125"/>
      <c r="G14" s="66">
        <v>0</v>
      </c>
      <c r="H14" s="14" t="s">
        <v>3</v>
      </c>
      <c r="I14" s="1"/>
    </row>
    <row r="15" spans="1:9" x14ac:dyDescent="0.25">
      <c r="A15" s="1"/>
      <c r="B15" s="120" t="s">
        <v>41</v>
      </c>
      <c r="C15" s="121"/>
      <c r="D15" s="121"/>
      <c r="E15" s="121"/>
      <c r="F15" s="122"/>
      <c r="G15" s="23">
        <f>SUM(G11:G14)*'Fane 15. Nøgletal'!C33</f>
        <v>306335.33866339864</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12832067.000547897</v>
      </c>
      <c r="H19" s="14" t="s">
        <v>3</v>
      </c>
      <c r="I19" s="1"/>
    </row>
    <row r="20" spans="1:9" x14ac:dyDescent="0.25">
      <c r="A20" s="1"/>
      <c r="B20" s="123" t="s">
        <v>245</v>
      </c>
      <c r="C20" s="124"/>
      <c r="D20" s="124"/>
      <c r="E20" s="124"/>
      <c r="F20" s="125"/>
      <c r="G20" s="66">
        <v>0</v>
      </c>
      <c r="H20" s="14" t="s">
        <v>3</v>
      </c>
      <c r="I20" s="1"/>
    </row>
    <row r="21" spans="1:9" x14ac:dyDescent="0.25">
      <c r="A21" s="1"/>
      <c r="B21" s="120" t="s">
        <v>43</v>
      </c>
      <c r="C21" s="121"/>
      <c r="D21" s="121"/>
      <c r="E21" s="121"/>
      <c r="F21" s="122"/>
      <c r="G21" s="23">
        <f>SUM(G19:G20)*'Fane 15. Nøgletal'!C33</f>
        <v>256641.34001095794</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12823161.546049519</v>
      </c>
      <c r="H25" s="14" t="s">
        <v>3</v>
      </c>
      <c r="I25" s="1"/>
    </row>
    <row r="26" spans="1:9" x14ac:dyDescent="0.25">
      <c r="A26" s="1"/>
      <c r="B26" s="123" t="s">
        <v>246</v>
      </c>
      <c r="C26" s="124"/>
      <c r="D26" s="124"/>
      <c r="E26" s="124"/>
      <c r="F26" s="125"/>
      <c r="G26" s="66">
        <v>0</v>
      </c>
      <c r="H26" s="14" t="s">
        <v>3</v>
      </c>
      <c r="I26" s="1"/>
    </row>
    <row r="27" spans="1:9" x14ac:dyDescent="0.25">
      <c r="A27" s="1"/>
      <c r="B27" s="120" t="s">
        <v>45</v>
      </c>
      <c r="C27" s="121"/>
      <c r="D27" s="121"/>
      <c r="E27" s="121"/>
      <c r="F27" s="122"/>
      <c r="G27" s="23">
        <f>(G25+G26)*'Fane 15. Nøgletal'!C33</f>
        <v>256463.23092099038</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12814262.27193656</v>
      </c>
      <c r="H31" s="14" t="s">
        <v>3</v>
      </c>
      <c r="I31" s="1"/>
    </row>
    <row r="32" spans="1:9" x14ac:dyDescent="0.25">
      <c r="A32" s="1"/>
      <c r="B32" s="120" t="s">
        <v>243</v>
      </c>
      <c r="C32" s="121"/>
      <c r="D32" s="121"/>
      <c r="E32" s="121"/>
      <c r="F32" s="122"/>
      <c r="G32" s="63">
        <v>37909.331628840002</v>
      </c>
      <c r="H32" s="14" t="s">
        <v>3</v>
      </c>
      <c r="I32" s="1"/>
    </row>
    <row r="33" spans="1:9" x14ac:dyDescent="0.25">
      <c r="A33" s="1"/>
      <c r="B33" s="120" t="s">
        <v>54</v>
      </c>
      <c r="C33" s="121"/>
      <c r="D33" s="121"/>
      <c r="E33" s="121"/>
      <c r="F33" s="122"/>
      <c r="G33" s="23">
        <f>(G31+G32)*'Fane 15. Nøgletal'!C33</f>
        <v>257043.43207130802</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12636692.094460024</v>
      </c>
      <c r="H37" s="14" t="s">
        <v>3</v>
      </c>
      <c r="I37" s="1"/>
    </row>
    <row r="38" spans="1:9" x14ac:dyDescent="0.25">
      <c r="A38" s="1"/>
      <c r="B38" s="120" t="s">
        <v>242</v>
      </c>
      <c r="C38" s="121"/>
      <c r="D38" s="121"/>
      <c r="E38" s="121"/>
      <c r="F38" s="122"/>
      <c r="G38" s="63">
        <v>36334.626685440009</v>
      </c>
      <c r="H38" s="14" t="s">
        <v>3</v>
      </c>
      <c r="I38" s="1"/>
    </row>
    <row r="39" spans="1:9" x14ac:dyDescent="0.25">
      <c r="A39" s="1"/>
      <c r="B39" s="120" t="s">
        <v>128</v>
      </c>
      <c r="C39" s="121"/>
      <c r="D39" s="121"/>
      <c r="E39" s="121"/>
      <c r="F39" s="122"/>
      <c r="G39" s="23">
        <f>(G37+G38)*'Fane 15. Nøgletal'!C33</f>
        <v>253460.53442290929</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12460550.75513874</v>
      </c>
      <c r="H43" s="14" t="s">
        <v>3</v>
      </c>
      <c r="I43" s="1"/>
    </row>
    <row r="44" spans="1:9" x14ac:dyDescent="0.25">
      <c r="A44" s="1"/>
      <c r="B44" s="126" t="s">
        <v>157</v>
      </c>
      <c r="C44" s="127"/>
      <c r="D44" s="127"/>
      <c r="E44" s="127"/>
      <c r="F44" s="128"/>
      <c r="G44" s="45">
        <v>54525.313049760007</v>
      </c>
      <c r="H44" s="14" t="s">
        <v>3</v>
      </c>
      <c r="I44" s="1"/>
    </row>
    <row r="45" spans="1:9" x14ac:dyDescent="0.25">
      <c r="A45" s="1"/>
      <c r="B45" s="120" t="s">
        <v>129</v>
      </c>
      <c r="C45" s="121"/>
      <c r="D45" s="121"/>
      <c r="E45" s="121"/>
      <c r="F45" s="122"/>
      <c r="G45" s="23">
        <f>SUM(G43:G44)*'Fane 15. Nøgletal'!C33</f>
        <v>250301.52136377001</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13255768.330208167</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65134.852966399994</v>
      </c>
      <c r="H53" s="14" t="s">
        <v>3</v>
      </c>
      <c r="I53" s="1"/>
    </row>
    <row r="54" spans="1:9" x14ac:dyDescent="0.25">
      <c r="A54" s="1"/>
      <c r="B54" s="120" t="s">
        <v>210</v>
      </c>
      <c r="C54" s="121"/>
      <c r="D54" s="121"/>
      <c r="E54" s="121"/>
      <c r="F54" s="122"/>
      <c r="G54" s="23">
        <f>(G52)*'Fane 15. Nøgletal'!C33+(G53)*'Fane 15. Nøgletal'!C33</f>
        <v>266418.0636634914</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14109287.51716757</v>
      </c>
      <c r="H58" s="14" t="s">
        <v>3</v>
      </c>
      <c r="I58" s="1"/>
    </row>
    <row r="59" spans="1:9" x14ac:dyDescent="0.25">
      <c r="A59" s="1"/>
      <c r="B59" s="78" t="s">
        <v>211</v>
      </c>
      <c r="C59" s="79"/>
      <c r="D59" s="79"/>
      <c r="E59" s="79"/>
      <c r="F59" s="80"/>
      <c r="G59" s="23">
        <f>(G58)*'Fane 15. Nøgletal'!C33</f>
        <v>282185.75034335139</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14944331.589583617</v>
      </c>
      <c r="H63" s="14" t="s">
        <v>3</v>
      </c>
      <c r="I63" s="1"/>
    </row>
    <row r="64" spans="1:9" x14ac:dyDescent="0.25">
      <c r="A64" s="1"/>
      <c r="B64" s="78" t="s">
        <v>214</v>
      </c>
      <c r="C64" s="79"/>
      <c r="D64" s="79"/>
      <c r="E64" s="79"/>
      <c r="F64" s="80"/>
      <c r="G64" s="23">
        <f>(G63)*'Fane 15. Nøgletal'!C33</f>
        <v>298886.63179167232</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15828796.910381533</v>
      </c>
      <c r="H68" s="14" t="s">
        <v>3</v>
      </c>
      <c r="I68" s="1"/>
    </row>
    <row r="69" spans="1:9" x14ac:dyDescent="0.25">
      <c r="A69" s="1"/>
      <c r="B69" s="78" t="s">
        <v>214</v>
      </c>
      <c r="C69" s="79"/>
      <c r="D69" s="79"/>
      <c r="E69" s="79"/>
      <c r="F69" s="80"/>
      <c r="G69" s="23">
        <f>(G68)*'Fane 15. Nøgletal'!C33</f>
        <v>316575.93820763065</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KZdKBjME2DJWPiwROJriAgf3CUn1RVy025jzhzz1Oozc0Wq7dKME+YlN8bT5s9ffzzLlm6JErI5CVBI8bbVs8Q==" saltValue="uJhk2vPcUDarSi/Sa3xyZg=="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63">
        <v>9095930.5630294085</v>
      </c>
      <c r="H5" s="14" t="s">
        <v>3</v>
      </c>
      <c r="I5" s="1"/>
    </row>
    <row r="6" spans="1:9" x14ac:dyDescent="0.25">
      <c r="A6" s="1"/>
      <c r="B6" s="120" t="s">
        <v>51</v>
      </c>
      <c r="C6" s="121"/>
      <c r="D6" s="121"/>
      <c r="E6" s="121"/>
      <c r="F6" s="122"/>
      <c r="G6" s="23">
        <f>G5*'Fane 15. Nøgletal'!C21</f>
        <v>82772.968123567625</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9170887.8528166935</v>
      </c>
      <c r="H10" s="14" t="s">
        <v>3</v>
      </c>
      <c r="I10" s="1"/>
    </row>
    <row r="11" spans="1:9" x14ac:dyDescent="0.25">
      <c r="A11" s="1"/>
      <c r="B11" s="120" t="s">
        <v>104</v>
      </c>
      <c r="C11" s="121"/>
      <c r="D11" s="121"/>
      <c r="E11" s="121"/>
      <c r="F11" s="122"/>
      <c r="G11" s="63">
        <v>625570.94856422883</v>
      </c>
      <c r="H11" s="14" t="s">
        <v>3</v>
      </c>
      <c r="I11" s="1"/>
    </row>
    <row r="12" spans="1:9" x14ac:dyDescent="0.25">
      <c r="A12" s="1"/>
      <c r="B12" s="123" t="s">
        <v>247</v>
      </c>
      <c r="C12" s="124"/>
      <c r="D12" s="124"/>
      <c r="E12" s="124"/>
      <c r="F12" s="125"/>
      <c r="G12" s="66">
        <v>0</v>
      </c>
      <c r="H12" s="14" t="s">
        <v>3</v>
      </c>
      <c r="I12" s="1"/>
    </row>
    <row r="13" spans="1:9" x14ac:dyDescent="0.25">
      <c r="A13" s="1"/>
      <c r="B13" s="120" t="s">
        <v>58</v>
      </c>
      <c r="C13" s="121"/>
      <c r="D13" s="121"/>
      <c r="E13" s="121"/>
      <c r="F13" s="122"/>
      <c r="G13" s="23">
        <f>SUM(G10:G12)*'Fane 15. Nøgletal'!C22</f>
        <v>173397.32078444233</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9791465.0565069206</v>
      </c>
      <c r="H17" s="14" t="s">
        <v>3</v>
      </c>
      <c r="I17" s="1"/>
    </row>
    <row r="18" spans="1:9" x14ac:dyDescent="0.25">
      <c r="A18" s="1"/>
      <c r="B18" s="123" t="s">
        <v>248</v>
      </c>
      <c r="C18" s="124"/>
      <c r="D18" s="124"/>
      <c r="E18" s="124"/>
      <c r="F18" s="125"/>
      <c r="G18" s="63">
        <v>0</v>
      </c>
      <c r="H18" s="14" t="s">
        <v>3</v>
      </c>
      <c r="I18" s="1"/>
    </row>
    <row r="19" spans="1:9" x14ac:dyDescent="0.25">
      <c r="A19" s="1"/>
      <c r="B19" s="120" t="s">
        <v>61</v>
      </c>
      <c r="C19" s="121"/>
      <c r="D19" s="121"/>
      <c r="E19" s="121"/>
      <c r="F19" s="122"/>
      <c r="G19" s="23">
        <f>G17*'Fane 15. Nøgletal'!C22+G18*'Fane 15. Nøgletal'!C23</f>
        <v>173308.9315001725</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9807633.8006693814</v>
      </c>
      <c r="H23" s="14" t="s">
        <v>3</v>
      </c>
      <c r="I23" s="1"/>
    </row>
    <row r="24" spans="1:9" x14ac:dyDescent="0.25">
      <c r="A24" s="1"/>
      <c r="B24" s="123" t="s">
        <v>249</v>
      </c>
      <c r="C24" s="124"/>
      <c r="D24" s="124"/>
      <c r="E24" s="124"/>
      <c r="F24" s="125"/>
      <c r="G24" s="63">
        <v>0</v>
      </c>
      <c r="H24" s="14" t="s">
        <v>3</v>
      </c>
      <c r="I24" s="1"/>
    </row>
    <row r="25" spans="1:9" x14ac:dyDescent="0.25">
      <c r="A25" s="1"/>
      <c r="B25" s="120" t="s">
        <v>64</v>
      </c>
      <c r="C25" s="121"/>
      <c r="D25" s="121"/>
      <c r="E25" s="121"/>
      <c r="F25" s="122"/>
      <c r="G25" s="23">
        <f>(G23+G24)*'Fane 15. Nøgletal'!C24</f>
        <v>278536.79993901047</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9716820.2116447594</v>
      </c>
      <c r="H29" s="14" t="s">
        <v>3</v>
      </c>
      <c r="I29" s="1"/>
    </row>
    <row r="30" spans="1:9" x14ac:dyDescent="0.25">
      <c r="A30" s="1"/>
      <c r="B30" s="120" t="s">
        <v>250</v>
      </c>
      <c r="C30" s="121"/>
      <c r="D30" s="121"/>
      <c r="E30" s="121"/>
      <c r="F30" s="122"/>
      <c r="G30" s="63">
        <v>0</v>
      </c>
      <c r="H30" s="14" t="s">
        <v>3</v>
      </c>
      <c r="I30" s="1"/>
    </row>
    <row r="31" spans="1:9" x14ac:dyDescent="0.25">
      <c r="A31" s="1"/>
      <c r="B31" s="120" t="s">
        <v>67</v>
      </c>
      <c r="C31" s="121"/>
      <c r="D31" s="121"/>
      <c r="E31" s="121"/>
      <c r="F31" s="122"/>
      <c r="G31" s="23">
        <f>G29*'Fane 15. Nøgletal'!C24+G30*'Fane 15. Nøgletal'!C25</f>
        <v>275957.69401071116</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9472017.3639422413</v>
      </c>
      <c r="H35" s="14" t="s">
        <v>3</v>
      </c>
      <c r="I35" s="1"/>
    </row>
    <row r="36" spans="1:9" x14ac:dyDescent="0.25">
      <c r="A36" s="1"/>
      <c r="B36" s="120" t="s">
        <v>251</v>
      </c>
      <c r="C36" s="121"/>
      <c r="D36" s="121"/>
      <c r="E36" s="121"/>
      <c r="F36" s="122"/>
      <c r="G36" s="63">
        <v>0</v>
      </c>
      <c r="H36" s="14" t="s">
        <v>3</v>
      </c>
      <c r="I36" s="1"/>
    </row>
    <row r="37" spans="1:9" x14ac:dyDescent="0.25">
      <c r="A37" s="1"/>
      <c r="B37" s="120" t="s">
        <v>131</v>
      </c>
      <c r="C37" s="121"/>
      <c r="D37" s="121"/>
      <c r="E37" s="121"/>
      <c r="F37" s="122"/>
      <c r="G37" s="23">
        <f>(G35+G36)*'Fane 15. Nøgletal'!C26</f>
        <v>140185.85698634517</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9362626.5509288516</v>
      </c>
      <c r="H41" s="14" t="s">
        <v>3</v>
      </c>
      <c r="I41" s="1"/>
    </row>
    <row r="42" spans="1:9" x14ac:dyDescent="0.25">
      <c r="A42" s="1"/>
      <c r="B42" s="40" t="s">
        <v>156</v>
      </c>
      <c r="C42" s="79"/>
      <c r="D42" s="79"/>
      <c r="E42" s="79"/>
      <c r="F42" s="80"/>
      <c r="G42" s="23">
        <v>294365.47863600001</v>
      </c>
      <c r="H42" s="14" t="s">
        <v>3</v>
      </c>
      <c r="I42" s="1"/>
    </row>
    <row r="43" spans="1:9" x14ac:dyDescent="0.25">
      <c r="A43" s="1"/>
      <c r="B43" s="120" t="s">
        <v>132</v>
      </c>
      <c r="C43" s="121"/>
      <c r="D43" s="121"/>
      <c r="E43" s="121"/>
      <c r="F43" s="122"/>
      <c r="G43" s="23">
        <f>(G41)*'Fane 15. Nøgletal'!C26+G42*'Fane 15. Nøgletal'!C27</f>
        <v>138566.87295374702</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10287513.909265283</v>
      </c>
      <c r="H53" s="14" t="s">
        <v>3</v>
      </c>
      <c r="I53" s="1"/>
    </row>
    <row r="54" spans="1:9" x14ac:dyDescent="0.25">
      <c r="A54" s="1"/>
      <c r="B54" s="78" t="s">
        <v>195</v>
      </c>
      <c r="C54" s="79"/>
      <c r="D54" s="79"/>
      <c r="E54" s="79"/>
      <c r="F54" s="80"/>
      <c r="G54" s="63">
        <v>0</v>
      </c>
      <c r="H54" s="14" t="s">
        <v>3</v>
      </c>
      <c r="I54" s="1"/>
    </row>
    <row r="55" spans="1:9" x14ac:dyDescent="0.25">
      <c r="A55" s="1"/>
      <c r="B55" s="120" t="s">
        <v>218</v>
      </c>
      <c r="C55" s="121"/>
      <c r="D55" s="121"/>
      <c r="E55" s="121"/>
      <c r="F55" s="122"/>
      <c r="G55" s="63">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11118745.033133918</v>
      </c>
      <c r="H59" s="14" t="s">
        <v>3</v>
      </c>
      <c r="I59" s="1"/>
    </row>
    <row r="60" spans="1:9" x14ac:dyDescent="0.25">
      <c r="A60" s="1"/>
      <c r="B60" s="120" t="s">
        <v>220</v>
      </c>
      <c r="C60" s="121"/>
      <c r="D60" s="121"/>
      <c r="E60" s="121"/>
      <c r="F60" s="122"/>
      <c r="G60" s="63">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12017139.631811138</v>
      </c>
      <c r="H64" s="14" t="s">
        <v>3</v>
      </c>
      <c r="I64" s="1"/>
    </row>
    <row r="65" spans="1:9" x14ac:dyDescent="0.25">
      <c r="A65" s="1"/>
      <c r="B65" s="120" t="s">
        <v>222</v>
      </c>
      <c r="C65" s="121"/>
      <c r="D65" s="121"/>
      <c r="E65" s="121"/>
      <c r="F65" s="122"/>
      <c r="G65" s="63">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12988124.514061479</v>
      </c>
      <c r="H69" s="14" t="s">
        <v>3</v>
      </c>
      <c r="I69" s="1"/>
    </row>
    <row r="70" spans="1:9" x14ac:dyDescent="0.25">
      <c r="A70" s="1"/>
      <c r="B70" s="120" t="s">
        <v>222</v>
      </c>
      <c r="C70" s="121"/>
      <c r="D70" s="121"/>
      <c r="E70" s="121"/>
      <c r="F70" s="122"/>
      <c r="G70" s="63">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bcQfBVh9SlyGCqsdajMUn+661iQ7ZLmpEknLk42Bp+Pggh3abwTVkfSVkEh0OQGhLIu6Fu31dKxakG2cewwc8A==" saltValue="Y+eX6EbF2rDazXBLHjcZvg=="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0</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BykMgKbXWhmSHElLmoyD7uJe+pntjTBv80Ijmx5XHXG+rhqO7iy3o/tHW/RPa3ZQUR0C/dHQfABBD37AhKmcow==" saltValue="r+l6eGnzTg4Z7F8u3FTEz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2024-02-09T15:18:09Z</dcterms:modified>
</cp:coreProperties>
</file>