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adsten Vandværk A.M.B.A (V072)\ØR2018\"/>
    </mc:Choice>
  </mc:AlternateContent>
  <bookViews>
    <workbookView xWindow="-15" yWindow="45" windowWidth="10425" windowHeight="894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62913"/>
</workbook>
</file>

<file path=xl/calcChain.xml><?xml version="1.0" encoding="utf-8"?>
<calcChain xmlns="http://schemas.openxmlformats.org/spreadsheetml/2006/main">
  <c r="G14" i="19" l="1"/>
  <c r="E14" i="19" l="1"/>
  <c r="G11" i="7"/>
  <c r="G10" i="7"/>
  <c r="G9" i="7"/>
  <c r="G11" i="10" l="1"/>
  <c r="G13" i="10" s="1"/>
  <c r="K12" i="22"/>
  <c r="K11" i="22"/>
  <c r="K10" i="22"/>
  <c r="F18" i="20"/>
  <c r="F19" i="20" s="1"/>
  <c r="F15" i="11" l="1"/>
  <c r="F14" i="11"/>
  <c r="F13" i="1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l="1"/>
  <c r="E20" i="22" s="1"/>
  <c r="G17" i="22" l="1"/>
  <c r="I17" i="22" s="1"/>
  <c r="G18" i="19"/>
  <c r="G19" i="19" s="1"/>
  <c r="E14" i="22" s="1"/>
  <c r="G12" i="7"/>
  <c r="G20" i="22" l="1"/>
  <c r="G14" i="22"/>
  <c r="E19" i="22"/>
  <c r="E21" i="22" s="1"/>
  <c r="I20" i="22"/>
  <c r="K17" i="22"/>
  <c r="K20" i="22" s="1"/>
  <c r="E15" i="13"/>
  <c r="F11" i="11"/>
  <c r="F16" i="11"/>
  <c r="I14" i="22" l="1"/>
  <c r="G19" i="22"/>
  <c r="G21" i="22" s="1"/>
  <c r="G30" i="13"/>
  <c r="K14" i="22" l="1"/>
  <c r="K19" i="22" s="1"/>
  <c r="I19" i="22"/>
  <c r="I21" i="22" s="1"/>
  <c r="E35" i="13"/>
  <c r="G35" i="13" s="1"/>
  <c r="E27" i="13"/>
  <c r="E19" i="13"/>
  <c r="G11" i="12"/>
  <c r="G29" i="12"/>
  <c r="G23" i="12"/>
  <c r="G17" i="12"/>
  <c r="F10" i="11"/>
  <c r="F17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<sst xmlns="http://schemas.openxmlformats.org/spreadsheetml/2006/main" count="327" uniqueCount="148">
  <si>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</si>
  <si>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</si>
  <si>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</si>
  <si>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</si>
  <si>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</si>
  <si>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</si>
  <si>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</si>
  <si>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</si>
  <si>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</si>
  <si>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</si>
  <si>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</si>
  <si>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</si>
  <si>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</si>
  <si>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</si>
  <si>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</si>
  <si>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</si>
  <si>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</si>
  <si>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</si>
  <si>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</si>
  <si>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</si>
  <si>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</si>
  <si>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</si>
  <si>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</si>
  <si>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</si>
  <si>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</si>
  <si>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</si>
  <si>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</si>
  <si>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</si>
  <si>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</si>
  <si>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</si>
  <si>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</si>
  <si>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</si>
  <si>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</si>
  <si>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</si>
  <si>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</si>
  <si>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</si>
  <si>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</si>
  <si>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</si>
  <si>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</si>
  <si>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</si>
  <si>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</si>
  <si>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</si>
  <si>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</si>
  <si>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</si>
  <si>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</si>
  <si>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</si>
  <si>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</si>
  <si>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</si>
  <si>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</si>
  <si>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</si>
  <si>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</si>
  <si>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</si>
  <si>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</si>
  <si>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</si>
  <si>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</si>
  <si>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</si>
  <si>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</si>
  <si>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</si>
  <si>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</si>
  <si>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</si>
  <si>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</si>
  <si>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</si>
  <si>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</si>
  <si>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</si>
  <si>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</si>
  <si>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</si>
  <si>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</si>
  <si>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</si>
  <si>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</si>
  <si>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</si>
  <si>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</si>
  <si>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</si>
  <si>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</si>
  <si>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</si>
  <si>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</si>
  <si>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</si>
  <si>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</si>
  <si>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</si>
  <si>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</si>
  <si>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</si>
  <si>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</si>
  <si>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</si>
  <si>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</si>
  <si>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</si>
  <si>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</si>
  <si>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</si>
  <si>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</si>
  <si>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</si>
  <si>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</si>
  <si>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</si>
  <si>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</si>
  <si>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</si>
  <si>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</si>
  <si>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</si>
  <si>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</si>
  <si>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</si>
  <si>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</si>
  <si>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</si>
  <si>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</si>
  <si>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</si>
  <si>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</si>
  <si>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</si>
  <si>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</si>
  <si>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</si>
  <si>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</si>
  <si>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</si>
  <si>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</si>
  <si>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</si>
  <si>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</si>
  <si>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</si>
  <si>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</si>
  <si>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</si>
  <si>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</si>
  <si>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</si>
  <si>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</si>
  <si>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</si>
  <si>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Boring (inkl. etablering, forerør, filter og prøvepumpning)</t>
  </si>
  <si>
    <t>SRO anlæg</t>
  </si>
  <si>
    <t>Afregningsmålere, elektroniske ≤ Ø 110mm (Qn 10)</t>
  </si>
  <si>
    <t>Køretøjer, små lastvogne (&lt; 3.500 kg.)</t>
  </si>
  <si>
    <t>Stik på ledningsnet, Mek./EL</t>
  </si>
  <si>
    <t>SRO-brønd/kvarterbrønd/sektionsbrønd, Mek./EL</t>
  </si>
  <si>
    <t>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</si>
  <si>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</si>
  <si>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</si>
  <si>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</si>
  <si>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</si>
  <si>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</si>
  <si>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</si>
  <si>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</si>
  <si>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</si>
  <si>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</si>
  <si>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</si>
  <si>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</si>
  <si>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</si>
  <si>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</si>
  <si>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</si>
  <si>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</si>
  <si>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</si>
  <si>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</si>
  <si>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</si>
  <si>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</si>
  <si>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</si>
  <si>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</si>
  <si>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</si>
  <si>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</si>
  <si>
    <t xml:space="preserve">Beregningen af de enkelte komponenter i grundlaget fremgår af bilag B og bilag 1. </t>
  </si>
  <si>
    <t xml:space="preserve">Fusion med Lyngå Vandværk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</si>
</sst>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>
      <selection activeCell="D13" sqref="D13:G13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115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112</v>
      </c>
      <c r="D13" s="76" t="s">
        <v>113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47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50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70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91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49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45</v>
      </c>
      <c r="D21" s="61" t="s">
        <v>48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4.25" x14ac:dyDescent="0.45">
      <c r="A28" s="2"/>
      <c r="B28" s="2"/>
      <c r="C28" s="2"/>
      <c r="D28" s="2"/>
      <c r="E28" s="2"/>
      <c r="F28" s="2"/>
      <c r="G28" s="2"/>
      <c r="H28" s="2"/>
      <c r="I28" s="2"/>
    </row>
    <row r="29" spans="1:9" ht="14.25" x14ac:dyDescent="0.45">
      <c r="A29" s="2"/>
      <c r="B29" s="2"/>
      <c r="C29" s="2"/>
      <c r="D29" s="2"/>
      <c r="E29" s="2"/>
      <c r="F29" s="2"/>
      <c r="G29" s="2"/>
      <c r="H29" s="2"/>
      <c r="I29" s="2"/>
    </row>
  </sheetData>
  <sheetProtection algorithmName="SHA-512" hashValue="77XDdAa1xy/ejmDMU5JJ+Y/+0yCAI6NsXkgVkn9OdlpD6lRX9GjX0R3JxXCdR6FBhNeiA3igZJOH5dzTern0MA==" saltValue="knoRSld1RfyWLZGw0ALzyA==" spinCount="100000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102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78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79</v>
      </c>
      <c r="C9" s="33"/>
      <c r="D9" s="100" t="s">
        <v>40</v>
      </c>
      <c r="E9" s="100"/>
      <c r="F9" s="100" t="s">
        <v>82</v>
      </c>
      <c r="G9" s="100"/>
      <c r="H9" s="2"/>
    </row>
    <row r="10" spans="1:8" x14ac:dyDescent="0.25">
      <c r="A10" s="2"/>
      <c r="B10" s="23" t="s">
        <v>141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83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93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algorithmName="SHA-512" hashValue="TfGfe8L8ddy/h+jHAXAadSJ+H7QQNrBp8yMk/TSJn82S3hOBXVnxjnoKCncUqRsurb/Lktsf2TgO2ZkLXUO3hQ==" saltValue="eG0sEpSFKe97/p/BSFJtKw==" spinCount="100000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103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x14ac:dyDescent="0.25">
      <c r="A9" s="2"/>
      <c r="B9" s="85" t="s">
        <v>104</v>
      </c>
      <c r="C9" s="86"/>
      <c r="D9" s="87"/>
      <c r="E9" s="48">
        <v>6527804</v>
      </c>
      <c r="F9" s="13" t="s">
        <v>4</v>
      </c>
      <c r="G9" s="48">
        <v>6540179</v>
      </c>
      <c r="H9" s="13" t="s">
        <v>4</v>
      </c>
      <c r="I9" s="48">
        <v>6553042</v>
      </c>
      <c r="J9" s="13" t="s">
        <v>4</v>
      </c>
      <c r="K9" s="57" t="s">
        <v>105</v>
      </c>
      <c r="L9" s="40" t="s">
        <v>4</v>
      </c>
      <c r="M9" s="2"/>
    </row>
    <row r="10" spans="1:13" ht="19.5" customHeight="1" x14ac:dyDescent="0.25">
      <c r="A10" s="2"/>
      <c r="B10" s="82" t="s">
        <v>71</v>
      </c>
      <c r="C10" s="80"/>
      <c r="D10" s="81"/>
      <c r="E10" s="41" t="s">
        <v>105</v>
      </c>
      <c r="F10" s="8" t="s">
        <v>4</v>
      </c>
      <c r="G10" s="41" t="s">
        <v>105</v>
      </c>
      <c r="H10" s="8" t="s">
        <v>4</v>
      </c>
      <c r="I10" s="41" t="s">
        <v>105</v>
      </c>
      <c r="J10" s="8" t="s">
        <v>4</v>
      </c>
      <c r="K10" s="42">
        <f>'Fane 3. Korrigeret grundlag'!G9*(1+E25/100)^3</f>
        <v>1966633.4045516918</v>
      </c>
      <c r="L10" s="8" t="s">
        <v>4</v>
      </c>
      <c r="M10" s="2"/>
    </row>
    <row r="11" spans="1:13" x14ac:dyDescent="0.25">
      <c r="A11" s="2"/>
      <c r="B11" s="46" t="s">
        <v>72</v>
      </c>
      <c r="C11" s="44"/>
      <c r="D11" s="45"/>
      <c r="E11" s="41" t="s">
        <v>105</v>
      </c>
      <c r="F11" s="8" t="s">
        <v>4</v>
      </c>
      <c r="G11" s="41" t="s">
        <v>105</v>
      </c>
      <c r="H11" s="8" t="s">
        <v>4</v>
      </c>
      <c r="I11" s="41" t="s">
        <v>105</v>
      </c>
      <c r="J11" s="8" t="s">
        <v>4</v>
      </c>
      <c r="K11" s="42">
        <f>'Fane 3. Korrigeret grundlag'!G10*(1+E25/100)^3</f>
        <v>2574198.0508101345</v>
      </c>
      <c r="L11" s="8" t="s">
        <v>4</v>
      </c>
      <c r="M11" s="2"/>
    </row>
    <row r="12" spans="1:13" x14ac:dyDescent="0.25">
      <c r="A12" s="2"/>
      <c r="B12" s="46" t="s">
        <v>89</v>
      </c>
      <c r="C12" s="44"/>
      <c r="D12" s="45"/>
      <c r="E12" s="41" t="s">
        <v>105</v>
      </c>
      <c r="F12" s="8" t="s">
        <v>4</v>
      </c>
      <c r="G12" s="41" t="s">
        <v>105</v>
      </c>
      <c r="H12" s="8" t="s">
        <v>4</v>
      </c>
      <c r="I12" s="41" t="s">
        <v>105</v>
      </c>
      <c r="J12" s="8" t="s">
        <v>4</v>
      </c>
      <c r="K12" s="42">
        <f>'Fane 3. Korrigeret grundlag'!G11*(1+E25/100)^3</f>
        <v>2581206.8574762512</v>
      </c>
      <c r="L12" s="8" t="s">
        <v>4</v>
      </c>
      <c r="M12" s="2"/>
    </row>
    <row r="13" spans="1:13" x14ac:dyDescent="0.25">
      <c r="A13" s="2"/>
      <c r="B13" s="46" t="s">
        <v>145</v>
      </c>
      <c r="C13" s="44"/>
      <c r="D13" s="45"/>
      <c r="E13" s="41" t="s">
        <v>105</v>
      </c>
      <c r="F13" s="8" t="s">
        <v>4</v>
      </c>
      <c r="G13" s="41" t="s">
        <v>105</v>
      </c>
      <c r="H13" s="8" t="s">
        <v>4</v>
      </c>
      <c r="I13" s="41" t="s">
        <v>105</v>
      </c>
      <c r="J13" s="8" t="s">
        <v>4</v>
      </c>
      <c r="K13" s="42">
        <v>-292504</v>
      </c>
      <c r="L13" s="8" t="s">
        <v>4</v>
      </c>
      <c r="M13" s="2"/>
    </row>
    <row r="14" spans="1:13" x14ac:dyDescent="0.25">
      <c r="A14" s="2"/>
      <c r="B14" s="82" t="s">
        <v>106</v>
      </c>
      <c r="C14" s="80"/>
      <c r="D14" s="81"/>
      <c r="E14" s="42">
        <f>'Fane 4. Ikke-påvirkelige omk.'!G19</f>
        <v>89249.916244500055</v>
      </c>
      <c r="F14" s="8" t="s">
        <v>4</v>
      </c>
      <c r="G14" s="9">
        <f>E14*(1+$E$25/100)</f>
        <v>90811.78977877881</v>
      </c>
      <c r="H14" s="8" t="s">
        <v>4</v>
      </c>
      <c r="I14" s="9">
        <f>G14*(1+$E$25/100)</f>
        <v>92400.996099907439</v>
      </c>
      <c r="J14" s="8" t="s">
        <v>4</v>
      </c>
      <c r="K14" s="51">
        <f>I14*(1+$E$25/100)</f>
        <v>94018.01353165583</v>
      </c>
      <c r="L14" s="8" t="s">
        <v>4</v>
      </c>
      <c r="M14" s="2"/>
    </row>
    <row r="15" spans="1:13" x14ac:dyDescent="0.25">
      <c r="A15" s="2"/>
      <c r="B15" s="82" t="s">
        <v>70</v>
      </c>
      <c r="C15" s="80"/>
      <c r="D15" s="81"/>
      <c r="E15" s="41" t="s">
        <v>105</v>
      </c>
      <c r="F15" s="8" t="s">
        <v>4</v>
      </c>
      <c r="G15" s="41" t="s">
        <v>105</v>
      </c>
      <c r="H15" s="8" t="s">
        <v>4</v>
      </c>
      <c r="I15" s="41" t="s">
        <v>105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16137.726666666655</v>
      </c>
      <c r="L15" s="8" t="s">
        <v>4</v>
      </c>
      <c r="M15" s="2"/>
    </row>
    <row r="16" spans="1:13" x14ac:dyDescent="0.25">
      <c r="A16" s="2"/>
      <c r="B16" s="79" t="s">
        <v>107</v>
      </c>
      <c r="C16" s="80"/>
      <c r="D16" s="81"/>
      <c r="E16" s="41" t="s">
        <v>105</v>
      </c>
      <c r="F16" s="8" t="s">
        <v>4</v>
      </c>
      <c r="G16" s="41" t="s">
        <v>105</v>
      </c>
      <c r="H16" s="8" t="s">
        <v>4</v>
      </c>
      <c r="I16" s="41" t="s">
        <v>105</v>
      </c>
      <c r="J16" s="8" t="s">
        <v>4</v>
      </c>
      <c r="K16" s="51">
        <f>'Fane 8. Kontrol af PL2016'!G36</f>
        <v>-192353.38290613331</v>
      </c>
      <c r="L16" s="8" t="s">
        <v>4</v>
      </c>
      <c r="M16" s="2"/>
    </row>
    <row r="17" spans="1:13" x14ac:dyDescent="0.25">
      <c r="A17" s="2"/>
      <c r="B17" s="79" t="s">
        <v>108</v>
      </c>
      <c r="C17" s="80"/>
      <c r="D17" s="81"/>
      <c r="E17" s="9">
        <f>'Fane 9. Tillæg'!D12+'Fane 9. Tillæg'!F12</f>
        <v>317125.29352858674</v>
      </c>
      <c r="F17" s="8" t="s">
        <v>4</v>
      </c>
      <c r="G17" s="9">
        <f>E17*(1+$E$25/100)*(1-$E$26/100)</f>
        <v>317189.51140052627</v>
      </c>
      <c r="H17" s="8" t="s">
        <v>4</v>
      </c>
      <c r="I17" s="9">
        <f>G17*(1+$E$25/100)*(1-$E$26/100)</f>
        <v>317253.7422765849</v>
      </c>
      <c r="J17" s="8" t="s">
        <v>4</v>
      </c>
      <c r="K17" s="51">
        <f>I17*(1+$E$25/100)*(1-$E$26/100)</f>
        <v>317317.98615939595</v>
      </c>
      <c r="L17" s="8" t="s">
        <v>4</v>
      </c>
      <c r="M17" s="2"/>
    </row>
    <row r="18" spans="1:13" x14ac:dyDescent="0.25">
      <c r="A18" s="2"/>
      <c r="B18" s="79" t="s">
        <v>78</v>
      </c>
      <c r="C18" s="80"/>
      <c r="D18" s="81"/>
      <c r="E18" s="41" t="s">
        <v>105</v>
      </c>
      <c r="F18" s="8" t="s">
        <v>4</v>
      </c>
      <c r="G18" s="41" t="s">
        <v>105</v>
      </c>
      <c r="H18" s="8" t="s">
        <v>4</v>
      </c>
      <c r="I18" s="41" t="s">
        <v>105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46</v>
      </c>
      <c r="C19" s="80"/>
      <c r="D19" s="81"/>
      <c r="E19" s="42">
        <f>(E17+E14)*($E$25/100)</f>
        <v>7111.5661710290206</v>
      </c>
      <c r="F19" s="8" t="s">
        <v>4</v>
      </c>
      <c r="G19" s="42">
        <f>(G17+G14)*($E$25/100)</f>
        <v>7140.0227706378391</v>
      </c>
      <c r="H19" s="8" t="s">
        <v>4</v>
      </c>
      <c r="I19" s="42">
        <f>(I17+I14)*($E$25/100)</f>
        <v>7168.957921588617</v>
      </c>
      <c r="J19" s="8" t="s">
        <v>4</v>
      </c>
      <c r="K19" s="42">
        <f>SUM(K10:K14,K17:K18)*($E$25/100)</f>
        <v>126715.23046925978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-5485.4747648107295</v>
      </c>
      <c r="F20" s="8" t="s">
        <v>4</v>
      </c>
      <c r="G20" s="42">
        <f>-G17*(1+$E$25/100)*($E$26/100)</f>
        <v>-5486.585573450604</v>
      </c>
      <c r="H20" s="8" t="s">
        <v>4</v>
      </c>
      <c r="I20" s="42">
        <f>-I17*(1+$E$25/100)*($E$26/100)</f>
        <v>-5487.6966070292283</v>
      </c>
      <c r="J20" s="8" t="s">
        <v>4</v>
      </c>
      <c r="K20" s="42">
        <f>-SUM(K10:K11,K13,K17:K18)*(1+$E$25/100)*($E$26/100)</f>
        <v>-78974.252024713351</v>
      </c>
      <c r="L20" s="8" t="s">
        <v>4</v>
      </c>
      <c r="M20" s="2"/>
    </row>
    <row r="21" spans="1:13" x14ac:dyDescent="0.25">
      <c r="A21" s="2"/>
      <c r="B21" s="37" t="s">
        <v>109</v>
      </c>
      <c r="C21" s="38"/>
      <c r="D21" s="38"/>
      <c r="E21" s="49">
        <f>SUM(E9:E20)</f>
        <v>6935805.3011793047</v>
      </c>
      <c r="F21" s="38" t="s">
        <v>4</v>
      </c>
      <c r="G21" s="49">
        <f>SUM(G9:G20)</f>
        <v>6949833.7383764926</v>
      </c>
      <c r="H21" s="38" t="s">
        <v>4</v>
      </c>
      <c r="I21" s="49">
        <f>SUM(I9:I20)</f>
        <v>6964377.9996910524</v>
      </c>
      <c r="J21" s="38" t="s">
        <v>4</v>
      </c>
      <c r="K21" s="52">
        <f>SUM(K9:K20)</f>
        <v>7112395.6347342096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110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111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14.2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algorithmName="SHA-512" hashValue="eGNvzfHBrSDL9jJt/bVyGg/WEZBqz/+qLAhgAWBRsyGYw7H5ltO8U+qhJUSV0+h22JrOxgWxB9vuuGUk7ha/7w==" saltValue="klV1KnZSy4KuSzZy8iuxig==" spinCount="100000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>
      <selection activeCell="C14" sqref="C14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95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96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71</v>
      </c>
      <c r="C9" s="80"/>
      <c r="D9" s="80"/>
      <c r="E9" s="80"/>
      <c r="F9" s="81"/>
      <c r="G9" s="21">
        <f>1804364.95402704+(61747*1.0127)</f>
        <v>1866896.14092704</v>
      </c>
      <c r="H9" s="17" t="s">
        <v>4</v>
      </c>
      <c r="I9" s="2"/>
    </row>
    <row r="10" spans="1:9" x14ac:dyDescent="0.25">
      <c r="A10" s="2"/>
      <c r="B10" s="79" t="s">
        <v>72</v>
      </c>
      <c r="C10" s="80"/>
      <c r="D10" s="80"/>
      <c r="E10" s="80"/>
      <c r="F10" s="81"/>
      <c r="G10" s="21">
        <f>2358990.64670708+(83596*1.0127)</f>
        <v>2443648.3159070797</v>
      </c>
      <c r="H10" s="17" t="s">
        <v>4</v>
      </c>
      <c r="I10" s="2"/>
    </row>
    <row r="11" spans="1:9" x14ac:dyDescent="0.25">
      <c r="A11" s="2"/>
      <c r="B11" s="79" t="s">
        <v>89</v>
      </c>
      <c r="C11" s="80"/>
      <c r="D11" s="80"/>
      <c r="E11" s="80"/>
      <c r="F11" s="81"/>
      <c r="G11" s="21">
        <f>2363873.80410142+(85344*1.0127)</f>
        <v>2450301.6729014199</v>
      </c>
      <c r="H11" s="17" t="s">
        <v>4</v>
      </c>
      <c r="I11" s="2"/>
    </row>
    <row r="12" spans="1:9" ht="17.25" customHeight="1" x14ac:dyDescent="0.25">
      <c r="A12" s="2"/>
      <c r="B12" s="88" t="s">
        <v>92</v>
      </c>
      <c r="C12" s="89"/>
      <c r="D12" s="89"/>
      <c r="E12" s="89"/>
      <c r="F12" s="90"/>
      <c r="G12" s="15">
        <f>SUM(G9:G11)</f>
        <v>6760846.1297355397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146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87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algorithmName="SHA-512" hashValue="KffwBll4zM37CmRIhq1nkPqx47FirfJqjEd6oyCiIPk2OOWKRMQ5h2NUoRC3D2IhPFI/5o9QZfjvxvZwZJphKA==" saltValue="gUBs+BftkCRmx3sAM4Ps6w==" spinCount="100000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>
      <selection activeCell="G9" sqref="G9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73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74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76</v>
      </c>
      <c r="C9" s="86"/>
      <c r="D9" s="87"/>
      <c r="E9" s="13" t="s">
        <v>75</v>
      </c>
      <c r="F9" s="13"/>
      <c r="G9" s="13" t="s">
        <v>90</v>
      </c>
      <c r="H9" s="13"/>
      <c r="I9" s="2"/>
    </row>
    <row r="10" spans="1:9" x14ac:dyDescent="0.25">
      <c r="A10" s="2"/>
      <c r="B10" s="95" t="s">
        <v>123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124</v>
      </c>
      <c r="C11" s="96"/>
      <c r="D11" s="96"/>
      <c r="E11" s="55">
        <v>2135.8528000000001</v>
      </c>
      <c r="F11" s="17" t="s">
        <v>4</v>
      </c>
      <c r="G11" s="21">
        <v>2279</v>
      </c>
      <c r="H11" s="17" t="s">
        <v>4</v>
      </c>
      <c r="I11" s="2"/>
    </row>
    <row r="12" spans="1:9" x14ac:dyDescent="0.25">
      <c r="A12" s="2"/>
      <c r="B12" s="95" t="s">
        <v>125</v>
      </c>
      <c r="C12" s="96"/>
      <c r="D12" s="96"/>
      <c r="E12" s="55">
        <v>149196.88920000001</v>
      </c>
      <c r="F12" s="17" t="s">
        <v>4</v>
      </c>
      <c r="G12" s="21">
        <v>226094</v>
      </c>
      <c r="H12" s="17" t="s">
        <v>4</v>
      </c>
      <c r="I12" s="2"/>
    </row>
    <row r="13" spans="1:9" x14ac:dyDescent="0.25">
      <c r="A13" s="2"/>
      <c r="B13" s="95" t="s">
        <v>126</v>
      </c>
      <c r="C13" s="96"/>
      <c r="D13" s="96"/>
      <c r="E13" s="55">
        <v>32399.4126</v>
      </c>
      <c r="F13" s="17" t="s">
        <v>4</v>
      </c>
      <c r="G13" s="21">
        <v>5244</v>
      </c>
      <c r="H13" s="17" t="s">
        <v>4</v>
      </c>
      <c r="I13" s="2"/>
    </row>
    <row r="14" spans="1:9" x14ac:dyDescent="0.25">
      <c r="A14" s="2"/>
      <c r="B14" s="95" t="s">
        <v>127</v>
      </c>
      <c r="C14" s="96"/>
      <c r="D14" s="96"/>
      <c r="E14" s="55">
        <f>2150496.94+85344</f>
        <v>2235840.94</v>
      </c>
      <c r="F14" s="17" t="s">
        <v>4</v>
      </c>
      <c r="G14" s="21">
        <f>2021150+85344+167177</f>
        <v>2273671</v>
      </c>
      <c r="H14" s="17" t="s">
        <v>4</v>
      </c>
      <c r="I14" s="2"/>
    </row>
    <row r="15" spans="1:9" x14ac:dyDescent="0.25">
      <c r="A15" s="2"/>
      <c r="B15" s="95" t="s">
        <v>128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129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130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85</v>
      </c>
      <c r="C18" s="92"/>
      <c r="D18" s="92"/>
      <c r="E18" s="92"/>
      <c r="F18" s="93"/>
      <c r="G18" s="15">
        <f>SUM(G10:G17)-SUM(E10:E17)</f>
        <v>87714.905400000047</v>
      </c>
      <c r="H18" s="16" t="s">
        <v>4</v>
      </c>
      <c r="I18" s="2"/>
    </row>
    <row r="19" spans="1:9" x14ac:dyDescent="0.25">
      <c r="A19" s="2"/>
      <c r="B19" s="91" t="s">
        <v>86</v>
      </c>
      <c r="C19" s="92"/>
      <c r="D19" s="92"/>
      <c r="E19" s="92"/>
      <c r="F19" s="93"/>
      <c r="G19" s="15">
        <f>G18*(1+'Fane 2. Overblik ØR18-21'!E25/100)</f>
        <v>89249.916244500055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algorithmName="SHA-512" hashValue="cf6qPQ8ZRRW/Eh6OF2gp1jDWpo8n3kI3OkOy1bE3AnLD7y2EKleEQuR+OV0rpcA9TwmIBO7qVgTcIywE8+S/yA==" saltValue="rNCW+tMptpOd/iKqD9sKZg==" spinCount="100000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97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42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-1956106</v>
      </c>
      <c r="H9" s="17" t="s">
        <v>4</v>
      </c>
      <c r="I9" s="2"/>
    </row>
    <row r="10" spans="1:9" x14ac:dyDescent="0.25">
      <c r="A10" s="2"/>
      <c r="B10" s="79" t="s">
        <v>80</v>
      </c>
      <c r="C10" s="80"/>
      <c r="D10" s="80"/>
      <c r="E10" s="80"/>
      <c r="F10" s="81"/>
      <c r="G10" s="21">
        <v>-1381435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-574671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81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-191557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algorithmName="SHA-512" hashValue="MtF5Fp6121ZjXDHjyHKwBBlHvY3kjyUK0ZBWwF6eV+jnHC3Hc4e5pUNhtoGyteGDBlgMyPJfkGDQ/twdRFYvlQ==" saltValue="69g7Hn2XiPAgjAy48bgfjA==" spinCount="100000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1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98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50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ht="26.25" x14ac:dyDescent="0.25">
      <c r="A10" s="2"/>
      <c r="B10" s="43" t="s">
        <v>116</v>
      </c>
      <c r="C10" s="28">
        <v>2016</v>
      </c>
      <c r="D10" s="22">
        <v>30</v>
      </c>
      <c r="E10" s="21">
        <v>493990</v>
      </c>
      <c r="F10" s="9">
        <f>E10/D10</f>
        <v>16466.333333333332</v>
      </c>
      <c r="G10" s="17" t="s">
        <v>4</v>
      </c>
      <c r="H10" s="2"/>
    </row>
    <row r="11" spans="1:8" x14ac:dyDescent="0.25">
      <c r="A11" s="2"/>
      <c r="B11" s="43" t="s">
        <v>117</v>
      </c>
      <c r="C11" s="28">
        <v>2016</v>
      </c>
      <c r="D11" s="22">
        <v>10</v>
      </c>
      <c r="E11" s="21">
        <v>78507</v>
      </c>
      <c r="F11" s="9">
        <f t="shared" ref="F11:F16" si="0">E11/D11</f>
        <v>7850.7</v>
      </c>
      <c r="G11" s="17" t="s">
        <v>4</v>
      </c>
      <c r="H11" s="2"/>
    </row>
    <row r="12" spans="1:8" ht="26.25" x14ac:dyDescent="0.25">
      <c r="A12" s="2"/>
      <c r="B12" s="43" t="s">
        <v>118</v>
      </c>
      <c r="C12" s="28">
        <v>2016</v>
      </c>
      <c r="D12" s="22">
        <v>10</v>
      </c>
      <c r="E12" s="21">
        <v>328898</v>
      </c>
      <c r="F12" s="9">
        <f t="shared" si="0"/>
        <v>32889.800000000003</v>
      </c>
      <c r="G12" s="17" t="s">
        <v>4</v>
      </c>
      <c r="H12" s="2"/>
    </row>
    <row r="13" spans="1:8" x14ac:dyDescent="0.25">
      <c r="A13" s="2"/>
      <c r="B13" s="43" t="s">
        <v>119</v>
      </c>
      <c r="C13" s="28">
        <v>2016</v>
      </c>
      <c r="D13" s="22">
        <v>5</v>
      </c>
      <c r="E13" s="21">
        <v>17908</v>
      </c>
      <c r="F13" s="9">
        <f t="shared" si="0"/>
        <v>3581.6</v>
      </c>
      <c r="G13" s="17" t="s">
        <v>4</v>
      </c>
      <c r="H13" s="2"/>
    </row>
    <row r="14" spans="1:8" x14ac:dyDescent="0.25">
      <c r="A14" s="2"/>
      <c r="B14" s="43" t="s">
        <v>120</v>
      </c>
      <c r="C14" s="28">
        <v>2016</v>
      </c>
      <c r="D14" s="22">
        <v>75</v>
      </c>
      <c r="E14" s="21">
        <v>223566</v>
      </c>
      <c r="F14" s="9">
        <f t="shared" si="0"/>
        <v>2980.88</v>
      </c>
      <c r="G14" s="17" t="s">
        <v>4</v>
      </c>
      <c r="H14" s="2"/>
    </row>
    <row r="15" spans="1:8" ht="26.25" x14ac:dyDescent="0.25">
      <c r="A15" s="2"/>
      <c r="B15" s="43" t="s">
        <v>121</v>
      </c>
      <c r="C15" s="28">
        <v>2016</v>
      </c>
      <c r="D15" s="22">
        <v>15</v>
      </c>
      <c r="E15" s="21">
        <v>30324</v>
      </c>
      <c r="F15" s="9">
        <f t="shared" si="0"/>
        <v>2021.6</v>
      </c>
      <c r="G15" s="17" t="s">
        <v>4</v>
      </c>
      <c r="H15" s="2"/>
    </row>
    <row r="16" spans="1:8" x14ac:dyDescent="0.25">
      <c r="A16" s="2"/>
      <c r="B16" s="43" t="s">
        <v>122</v>
      </c>
      <c r="C16" s="28">
        <v>2016</v>
      </c>
      <c r="D16" s="22">
        <v>75</v>
      </c>
      <c r="E16" s="21">
        <v>1448836</v>
      </c>
      <c r="F16" s="9">
        <f t="shared" si="0"/>
        <v>19317.813333333332</v>
      </c>
      <c r="G16" s="17" t="s">
        <v>4</v>
      </c>
      <c r="H16" s="2"/>
    </row>
    <row r="17" spans="1:8" x14ac:dyDescent="0.25">
      <c r="A17" s="2"/>
      <c r="B17" s="91" t="s">
        <v>51</v>
      </c>
      <c r="C17" s="92"/>
      <c r="D17" s="92"/>
      <c r="E17" s="93"/>
      <c r="F17" s="15">
        <f>SUM(F10:F16)</f>
        <v>85108.726666666655</v>
      </c>
      <c r="G17" s="16" t="s">
        <v>4</v>
      </c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</sheetData>
  <sheetProtection algorithmName="SHA-512" hashValue="C834olY6LjJeS7rSEV59PkdHeybniNbWBianddD81NljXFkZW8zwBc6D0nxJkmkRoDrnv1TtAJ9LD1VXeDgAYQ==" saltValue="RK6N97MD2IYgKDpvlfgwdQ==" spinCount="100000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99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136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52</v>
      </c>
      <c r="C9" s="80"/>
      <c r="D9" s="80"/>
      <c r="E9" s="80"/>
      <c r="F9" s="81"/>
      <c r="G9" s="21">
        <v>2283113</v>
      </c>
      <c r="H9" s="17" t="s">
        <v>4</v>
      </c>
      <c r="I9" s="2"/>
    </row>
    <row r="10" spans="1:9" x14ac:dyDescent="0.25">
      <c r="A10" s="2"/>
      <c r="B10" s="79" t="s">
        <v>53</v>
      </c>
      <c r="C10" s="80"/>
      <c r="D10" s="80"/>
      <c r="E10" s="80"/>
      <c r="F10" s="81"/>
      <c r="G10" s="21">
        <v>2260165</v>
      </c>
      <c r="H10" s="17" t="s">
        <v>4</v>
      </c>
      <c r="I10" s="2"/>
    </row>
    <row r="11" spans="1:9" x14ac:dyDescent="0.25">
      <c r="A11" s="2"/>
      <c r="B11" s="91" t="s">
        <v>137</v>
      </c>
      <c r="C11" s="92"/>
      <c r="D11" s="92"/>
      <c r="E11" s="92"/>
      <c r="F11" s="93"/>
      <c r="G11" s="15">
        <f>G9-G10</f>
        <v>22948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138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54</v>
      </c>
      <c r="C15" s="80"/>
      <c r="D15" s="80"/>
      <c r="E15" s="80"/>
      <c r="F15" s="81"/>
      <c r="G15" s="21">
        <v>8581</v>
      </c>
      <c r="H15" s="17" t="s">
        <v>4</v>
      </c>
      <c r="I15" s="2"/>
    </row>
    <row r="16" spans="1:9" x14ac:dyDescent="0.25">
      <c r="A16" s="2"/>
      <c r="B16" s="79" t="s">
        <v>55</v>
      </c>
      <c r="C16" s="80"/>
      <c r="D16" s="80"/>
      <c r="E16" s="80"/>
      <c r="F16" s="81"/>
      <c r="G16" s="21">
        <v>-5000</v>
      </c>
      <c r="H16" s="17" t="s">
        <v>4</v>
      </c>
      <c r="I16" s="2"/>
    </row>
    <row r="17" spans="1:9" x14ac:dyDescent="0.25">
      <c r="A17" s="2"/>
      <c r="B17" s="91" t="s">
        <v>138</v>
      </c>
      <c r="C17" s="92"/>
      <c r="D17" s="92"/>
      <c r="E17" s="92"/>
      <c r="F17" s="93"/>
      <c r="G17" s="15">
        <f>G15-G16</f>
        <v>13581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139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56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57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139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140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45">
      <c r="A27" s="2"/>
      <c r="B27" s="101" t="s">
        <v>58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59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140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60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61</v>
      </c>
      <c r="C33" s="80"/>
      <c r="D33" s="80"/>
      <c r="E33" s="80"/>
      <c r="F33" s="81"/>
      <c r="G33" s="9">
        <f>'Fane 6. Gen. inv. i 2016'!F17</f>
        <v>85108.726666666655</v>
      </c>
      <c r="H33" s="17" t="s">
        <v>4</v>
      </c>
      <c r="I33" s="2"/>
    </row>
    <row r="34" spans="1:9" x14ac:dyDescent="0.25">
      <c r="A34" s="2"/>
      <c r="B34" s="79" t="s">
        <v>62</v>
      </c>
      <c r="C34" s="80"/>
      <c r="D34" s="80"/>
      <c r="E34" s="80"/>
      <c r="F34" s="81"/>
      <c r="G34" s="21">
        <v>105500</v>
      </c>
      <c r="H34" s="17" t="s">
        <v>4</v>
      </c>
      <c r="I34" s="2"/>
    </row>
    <row r="35" spans="1:9" x14ac:dyDescent="0.25">
      <c r="A35" s="2"/>
      <c r="B35" s="91" t="s">
        <v>60</v>
      </c>
      <c r="C35" s="92"/>
      <c r="D35" s="92"/>
      <c r="E35" s="92"/>
      <c r="F35" s="93"/>
      <c r="G35" s="15">
        <f>G33-G34</f>
        <v>-20391.273333333345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algorithmName="SHA-512" hashValue="qj8f+ixLfF8ngHYK9i74L0Iwa5k/VwZflGe/N+HkI994It5Gd3svBNS6a9sjs2Tpk8bn/ZABXH9VgQANtWIROA==" saltValue="0ajn/5aEzytInJzN/EHwRg==" spinCount="100000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64</v>
      </c>
      <c r="C9" s="105"/>
      <c r="D9" s="105"/>
      <c r="E9" s="105"/>
      <c r="F9" s="106"/>
      <c r="G9" s="20">
        <v>6038027.6170938667</v>
      </c>
      <c r="H9" s="25" t="s">
        <v>4</v>
      </c>
      <c r="I9" s="2"/>
    </row>
    <row r="10" spans="1:9" x14ac:dyDescent="0.25">
      <c r="A10" s="2"/>
      <c r="B10" s="91" t="s">
        <v>65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1631262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66</v>
      </c>
      <c r="C12" s="80"/>
      <c r="D12" s="81"/>
      <c r="E12" s="21">
        <v>393900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67</v>
      </c>
      <c r="C13" s="80"/>
      <c r="D13" s="81"/>
      <c r="E13" s="21">
        <v>-52453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68</v>
      </c>
      <c r="C14" s="80"/>
      <c r="D14" s="81"/>
      <c r="E14" s="21">
        <v>188967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2161676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1440607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1440607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-2622029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4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ht="14.25" x14ac:dyDescent="0.45">
      <c r="A27" s="2"/>
      <c r="B27" s="104" t="s">
        <v>29</v>
      </c>
      <c r="C27" s="105"/>
      <c r="D27" s="106"/>
      <c r="E27" s="12">
        <f>SUM(E20:E26)</f>
        <v>-2622029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980254</v>
      </c>
      <c r="F28" s="25" t="s">
        <v>4</v>
      </c>
      <c r="G28" s="1">
        <f>IF(E28&lt;0,0,-E28)</f>
        <v>-980254</v>
      </c>
      <c r="H28" s="25" t="s">
        <v>4</v>
      </c>
      <c r="I28" s="2"/>
    </row>
    <row r="29" spans="1:9" x14ac:dyDescent="0.25">
      <c r="A29" s="2"/>
      <c r="B29" s="91" t="s">
        <v>69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69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43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44</v>
      </c>
      <c r="C32" s="102"/>
      <c r="D32" s="103"/>
      <c r="E32" s="21">
        <v>5102578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147549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5250127</v>
      </c>
      <c r="F35" s="25" t="s">
        <v>4</v>
      </c>
      <c r="G35" s="12">
        <f>-E35</f>
        <v>-5250127</v>
      </c>
      <c r="H35" s="25" t="s">
        <v>4</v>
      </c>
      <c r="I35" s="2"/>
    </row>
    <row r="36" spans="1:9" x14ac:dyDescent="0.25">
      <c r="A36" s="2"/>
      <c r="B36" s="91" t="s">
        <v>135</v>
      </c>
      <c r="C36" s="92"/>
      <c r="D36" s="92"/>
      <c r="E36" s="92"/>
      <c r="F36" s="93"/>
      <c r="G36" s="15">
        <f>$G$9+$G$28+$G$30+$G$35</f>
        <v>-192353.38290613331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algorithmName="SHA-512" hashValue="zVVL6OpjHwwFds4tPqN+LcZFrE10fKv17Ds6iRd8HimQKdDNZFwoyzjrsADvCZ0PB27yrt76KY82OHS8ufyLeA==" saltValue="oJ8RaT4hhhNw+0oCeyJIaA==" spinCount="100000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>
      <selection activeCell="F10" sqref="F10"/>
    </sheetView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101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134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77</v>
      </c>
      <c r="C9" s="87"/>
      <c r="D9" s="100" t="s">
        <v>40</v>
      </c>
      <c r="E9" s="100"/>
      <c r="F9" s="100" t="s">
        <v>82</v>
      </c>
      <c r="G9" s="100"/>
      <c r="H9" s="2"/>
    </row>
    <row r="10" spans="1:8" x14ac:dyDescent="0.25">
      <c r="A10" s="2"/>
      <c r="B10" s="108" t="s">
        <v>147</v>
      </c>
      <c r="C10" s="109"/>
      <c r="D10" s="47">
        <v>125058.75384173663</v>
      </c>
      <c r="E10" s="17" t="s">
        <v>4</v>
      </c>
      <c r="F10" s="21">
        <v>186612.29630920856</v>
      </c>
      <c r="G10" s="17" t="s">
        <v>4</v>
      </c>
      <c r="H10" s="2"/>
    </row>
    <row r="11" spans="1:8" x14ac:dyDescent="0.25">
      <c r="A11" s="2"/>
      <c r="B11" s="91" t="s">
        <v>84</v>
      </c>
      <c r="C11" s="92"/>
      <c r="D11" s="15">
        <f>SUM(D10:D10)</f>
        <v>125058.75384173663</v>
      </c>
      <c r="E11" s="16" t="s">
        <v>4</v>
      </c>
      <c r="F11" s="15">
        <f>SUM(F10:F10)</f>
        <v>186612.29630920856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127247.28203396703</v>
      </c>
      <c r="E12" s="16" t="s">
        <v>4</v>
      </c>
      <c r="F12" s="15">
        <f>F11*(1+'Fane 2. Overblik ØR18-21'!E25/100)</f>
        <v>189878.01149461971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143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144</v>
      </c>
      <c r="C16" s="86"/>
      <c r="D16" s="86"/>
      <c r="E16" s="87"/>
      <c r="F16" s="100" t="s">
        <v>131</v>
      </c>
      <c r="G16" s="100"/>
      <c r="H16" s="2"/>
    </row>
    <row r="17" spans="1:8" x14ac:dyDescent="0.25">
      <c r="A17" s="2"/>
      <c r="B17" s="79" t="s">
        <v>142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132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133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algorithmName="SHA-512" hashValue="j69/M9b1sJKYKXJxR9OWJofI2DXz/9LhzqFDl/5nSgr165Y/+fXGYnQI3XneZIxYxgoOh+JERPJrqoRFivC/9A==" saltValue="aFKJCx8n0o470FKEc4qt4A==" spinCount="100000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</cp:lastModifiedBy>
  <cp:lastPrinted>2016-06-14T12:57:30Z</cp:lastPrinted>
  <dcterms:created xsi:type="dcterms:W3CDTF">2016-06-02T08:51:18Z</dcterms:created>
  <dcterms:modified xsi:type="dcterms:W3CDTF">2019-01-29T13:47:42Z</dcterms:modified>
</cp:coreProperties>
</file>