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Vejen Vand (V205)\ØR2025\"/>
    </mc:Choice>
  </mc:AlternateContent>
  <xr:revisionPtr revIDLastSave="0" documentId="13_ncr:1_{3569C8F1-1FDE-4DBA-8C5B-E79F24E7312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2025'!$B$8:$D$35</definedName>
    <definedName name="Fane21total">'Fane 2.1. Økonomisk ramme 2025'!$C$35</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2025'!$B$8:$D$36</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2025'!$C$35</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E14" i="39" l="1"/>
  <c r="C14" i="39"/>
  <c r="C24" i="41" l="1"/>
  <c r="C10" i="36" l="1"/>
  <c r="C10" i="30"/>
  <c r="C9" i="2" l="1"/>
  <c r="F10" i="11" l="1"/>
  <c r="F11" i="11" s="1"/>
  <c r="C11" i="29"/>
  <c r="C12" i="29" l="1"/>
  <c r="E11" i="29" l="1"/>
  <c r="C20" i="43" l="1"/>
  <c r="E12" i="29" l="1"/>
  <c r="C16" i="41" l="1"/>
  <c r="C15" i="41"/>
  <c r="C17" i="41" l="1"/>
  <c r="C28" i="41" s="1"/>
  <c r="C18" i="23" l="1"/>
  <c r="C20" i="15"/>
  <c r="C32" i="2"/>
  <c r="E15" i="39" l="1"/>
  <c r="C15" i="39"/>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5"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<sst xmlns="http://schemas.openxmlformats.org/spreadsheetml/2006/main" count="458" uniqueCount="211">
  <si>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</si>
  <si>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</si>
  <si>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</si>
  <si>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</si>
  <si>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</si>
  <si>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</si>
  <si>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</si>
  <si>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</si>
  <si>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</si>
  <si>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</si>
  <si>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</si>
  <si>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</si>
  <si>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</si>
  <si>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</si>
  <si>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</si>
  <si>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</si>
  <si>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</si>
  <si>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</si>
  <si>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</si>
  <si>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</si>
  <si>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</si>
  <si>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</si>
  <si>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</si>
  <si>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</si>
  <si>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</si>
  <si>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</si>
  <si>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</si>
  <si>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</si>
  <si>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</si>
  <si>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</si>
  <si>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</si>
  <si>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</si>
  <si>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</si>
  <si>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</si>
  <si>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</si>
  <si>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</si>
  <si>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</si>
  <si>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</si>
  <si>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</si>
  <si>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</si>
  <si>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</si>
  <si>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</si>
  <si>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</si>
  <si>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</si>
  <si>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</si>
  <si>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</si>
  <si>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</si>
  <si>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</si>
  <si>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</si>
  <si>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</si>
  <si>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</si>
  <si>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</si>
  <si>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</si>
  <si>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</si>
  <si>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</si>
  <si>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</si>
  <si>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</si>
  <si>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</si>
  <si>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</si>
  <si>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</si>
  <si>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</si>
  <si>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</si>
  <si>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</si>
  <si>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</si>
  <si>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</si>
  <si>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</si>
  <si>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</si>
  <si>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</si>
  <si>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</si>
  <si>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</si>
  <si>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</si>
  <si>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</si>
  <si>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</si>
  <si>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</si>
  <si>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</si>
  <si>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</si>
  <si>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</si>
  <si>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</si>
  <si>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</si>
  <si>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</si>
  <si>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</si>
  <si>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</si>
  <si>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</si>
  <si>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</si>
  <si>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</si>
  <si>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</si>
  <si>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</si>
  <si>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</si>
  <si>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</si>
  <si>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</si>
  <si>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</si>
  <si>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</si>
  <si>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</si>
  <si>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</si>
  <si>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</si>
  <si>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</si>
  <si>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</si>
  <si>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</si>
  <si>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</si>
  <si>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</si>
  <si>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</si>
  <si>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</si>
  <si>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</si>
  <si>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</si>
  <si>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</si>
  <si>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</si>
  <si>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</si>
  <si>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</si>
  <si>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</si>
  <si>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</si>
  <si>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</si>
  <si>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</si>
  <si>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</si>
  <si>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</si>
  <si>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</si>
  <si>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</si>
  <si>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</si>
  <si>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</si>
  <si>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</si>
  <si>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</si>
  <si>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</si>
  <si>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</si>
  <si>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</si>
  <si>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</si>
  <si>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</si>
  <si>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</si>
  <si>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</si>
  <si>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</si>
  <si>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</si>
  <si>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</si>
  <si>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</si>
  <si>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</si>
  <si>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</si>
  <si>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</si>
  <si>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</si>
  <si>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</si>
  <si>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</si>
  <si>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</si>
  <si>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</si>
  <si>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</si>
  <si>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</si>
  <si>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</si>
  <si>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</si>
  <si>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</si>
  <si>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</si>
  <si>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</si>
  <si>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</si>
  <si>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</si>
  <si>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</si>
  <si>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</si>
  <si>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</si>
  <si>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</si>
  <si>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</si>
  <si>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</si>
  <si>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</si>
  <si>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</si>
  <si>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</si>
  <si>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</si>
  <si>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</si>
  <si>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</si>
  <si>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</si>
  <si>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</si>
  <si>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</si>
  <si>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</si>
  <si>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</si>
  <si>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</si>
  <si>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</si>
  <si>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</si>
  <si>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</si>
  <si>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</si>
  <si>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</si>
  <si>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</si>
  <si>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</si>
  <si>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</si>
  <si>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</si>
  <si>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</si>
  <si>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</si>
  <si>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</si>
  <si>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</si>
  <si>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</si>
  <si>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</si>
  <si>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</si>
  <si>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</si>
  <si>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</si>
  <si>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</si>
  <si>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</si>
  <si>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</si>
  <si>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</si>
  <si>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</si>
  <si>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</si>
  <si>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</si>
  <si>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</si>
  <si>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</si>
  <si>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</si>
  <si>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</si>
  <si>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</si>
  <si>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</si>
  <si>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</si>
  <si>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</si>
  <si>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</si>
  <si>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Erstatninger</t>
  </si>
  <si>
    <t>Øvrige afgifter</t>
  </si>
  <si>
    <t>1 Nye tilslutninger</t>
  </si>
  <si>
    <t>2 Udvidelse Erhvervskunde</t>
  </si>
  <si>
    <t>3 byggemodning</t>
  </si>
  <si>
    <t>4 Vandstrategi</t>
  </si>
  <si>
    <t>5 Aldersbestemt drikkevand</t>
  </si>
  <si>
    <t>6 BNBO Rådgivning – ifm. indgåelse af aftale</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</si>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</sst>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195</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158</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eo/RH1O9qiXNw+5wbvE9xwOLG+6fBmsOVgTKXLz9MyaBhbheT3AGSdqU3a1l2uqDGZc+ueTmQ65hSMNZInM5JQ==" saltValue="Ah+N2/oz62aFUV7J6Q6nrw=="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5" t="s">
        <v>196</v>
      </c>
      <c r="C10" s="66">
        <v>6391855</v>
      </c>
      <c r="D10" s="14" t="s">
        <v>3</v>
      </c>
      <c r="E10" s="1"/>
    </row>
    <row r="11" spans="1:5" x14ac:dyDescent="0.25">
      <c r="A11" s="1"/>
      <c r="B11" s="65" t="s">
        <v>197</v>
      </c>
      <c r="C11" s="66">
        <v>59153</v>
      </c>
      <c r="D11" s="14" t="s">
        <v>3</v>
      </c>
      <c r="E11" s="1"/>
    </row>
    <row r="12" spans="1:5" ht="25.5" x14ac:dyDescent="0.25">
      <c r="A12" s="1"/>
      <c r="B12" s="65" t="s">
        <v>198</v>
      </c>
      <c r="C12" s="66">
        <v>109265</v>
      </c>
      <c r="D12" s="14" t="s">
        <v>3</v>
      </c>
      <c r="E12" s="1"/>
    </row>
    <row r="13" spans="1:5" x14ac:dyDescent="0.25">
      <c r="A13" s="1"/>
      <c r="B13" s="65" t="s">
        <v>199</v>
      </c>
      <c r="C13" s="66">
        <v>15432</v>
      </c>
      <c r="D13" s="14" t="s">
        <v>3</v>
      </c>
      <c r="E13" s="1"/>
    </row>
    <row r="14" spans="1:5" x14ac:dyDescent="0.25">
      <c r="A14" s="1"/>
      <c r="B14" s="65" t="s">
        <v>200</v>
      </c>
      <c r="C14" s="66">
        <v>49405</v>
      </c>
      <c r="D14" s="14" t="s">
        <v>3</v>
      </c>
      <c r="E14" s="1"/>
    </row>
    <row r="15" spans="1:5" x14ac:dyDescent="0.25">
      <c r="A15" s="1"/>
      <c r="B15" s="65" t="s">
        <v>201</v>
      </c>
      <c r="C15" s="66">
        <v>1991</v>
      </c>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143</v>
      </c>
      <c r="C19" s="12">
        <f>SUM(C10:C18)</f>
        <v>6627101</v>
      </c>
      <c r="D19" s="13" t="s">
        <v>3</v>
      </c>
      <c r="E19" s="1"/>
    </row>
    <row r="20" spans="1:5" x14ac:dyDescent="0.25">
      <c r="A20" s="1"/>
      <c r="B20" s="52" t="s">
        <v>144</v>
      </c>
      <c r="C20" s="12">
        <f>C19*(1+'Fane 13. Nøgletal'!C11)^2</f>
        <v>7534985.2741946904</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IIgMPs3gphUjBJ1ODCx5LhyRC4Y2/pPZJ6kN9/WNWDZ836X5fRTxEQWozsUAyGbEdkGoQP4g3i19XSPJ3iCpVw==" saltValue="hIG4mwhJdR2HFfQnNSMKF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171</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174</v>
      </c>
      <c r="C8" s="99"/>
      <c r="D8" s="100"/>
      <c r="E8" s="1"/>
    </row>
    <row r="9" spans="1:5" x14ac:dyDescent="0.25">
      <c r="A9" s="1"/>
      <c r="B9" s="56" t="s">
        <v>175</v>
      </c>
      <c r="C9" s="9">
        <v>326931.42882572301</v>
      </c>
      <c r="D9" s="39" t="s">
        <v>3</v>
      </c>
      <c r="E9" s="1"/>
    </row>
    <row r="10" spans="1:5" x14ac:dyDescent="0.25">
      <c r="A10" s="1"/>
      <c r="B10" s="56" t="s">
        <v>173</v>
      </c>
      <c r="C10" s="9">
        <v>-1162554.8764650449</v>
      </c>
      <c r="D10" s="14" t="s">
        <v>3</v>
      </c>
      <c r="E10" s="1"/>
    </row>
    <row r="11" spans="1:5" x14ac:dyDescent="0.25">
      <c r="A11" s="1"/>
      <c r="B11" s="52"/>
      <c r="C11" s="53"/>
      <c r="D11" s="19"/>
      <c r="E11" s="1"/>
    </row>
    <row r="12" spans="1:5" ht="53.85" customHeight="1" x14ac:dyDescent="0.25">
      <c r="A12" s="1"/>
      <c r="B12" s="107" t="s">
        <v>172</v>
      </c>
      <c r="C12" s="108"/>
      <c r="D12" s="109"/>
      <c r="E12" s="1"/>
    </row>
    <row r="13" spans="1:5" x14ac:dyDescent="0.25">
      <c r="A13" s="1"/>
      <c r="B13" s="1"/>
      <c r="C13" s="1"/>
      <c r="D13" s="1"/>
      <c r="E13" s="1"/>
    </row>
    <row r="14" spans="1:5" x14ac:dyDescent="0.25">
      <c r="A14" s="1"/>
      <c r="B14" s="69" t="s">
        <v>176</v>
      </c>
      <c r="C14" s="70"/>
      <c r="D14" s="71"/>
      <c r="E14" s="1"/>
    </row>
    <row r="15" spans="1:5" x14ac:dyDescent="0.25">
      <c r="A15" s="1"/>
      <c r="B15" s="56" t="s">
        <v>177</v>
      </c>
      <c r="C15" s="9">
        <f>IF(C10&lt;0,C10,0)</f>
        <v>-1162554.8764650449</v>
      </c>
      <c r="D15" s="14" t="s">
        <v>3</v>
      </c>
      <c r="E15" s="1"/>
    </row>
    <row r="16" spans="1:5" x14ac:dyDescent="0.25">
      <c r="A16" s="1"/>
      <c r="B16" s="56" t="s">
        <v>184</v>
      </c>
      <c r="C16" s="9">
        <f>IF(SUM(C9)&gt;0,SUM(C9),0)</f>
        <v>326931.42882572301</v>
      </c>
      <c r="D16" s="14" t="s">
        <v>3</v>
      </c>
      <c r="E16" s="1"/>
    </row>
    <row r="17" spans="1:5" ht="26.25" x14ac:dyDescent="0.25">
      <c r="A17" s="1"/>
      <c r="B17" s="72" t="s">
        <v>178</v>
      </c>
      <c r="C17" s="62">
        <f>IF(SUM(C15:C16)&gt;0,0,SUM(C15:C16))</f>
        <v>-835623.44763932191</v>
      </c>
      <c r="D17" s="17" t="s">
        <v>3</v>
      </c>
      <c r="E17" s="1"/>
    </row>
    <row r="18" spans="1:5" x14ac:dyDescent="0.25">
      <c r="A18" s="1"/>
      <c r="B18" s="52"/>
      <c r="C18" s="53"/>
      <c r="D18" s="19"/>
      <c r="E18" s="1"/>
    </row>
    <row r="19" spans="1:5" x14ac:dyDescent="0.25">
      <c r="A19" s="1"/>
      <c r="B19" s="1"/>
      <c r="C19" s="1"/>
      <c r="D19" s="1"/>
      <c r="E19" s="1"/>
    </row>
    <row r="20" spans="1:5" x14ac:dyDescent="0.25">
      <c r="A20" s="1"/>
      <c r="B20" s="69" t="s">
        <v>179</v>
      </c>
      <c r="C20" s="70"/>
      <c r="D20" s="71"/>
      <c r="E20" s="1"/>
    </row>
    <row r="21" spans="1:5" x14ac:dyDescent="0.25">
      <c r="A21" s="1"/>
      <c r="B21" s="56" t="s">
        <v>180</v>
      </c>
      <c r="C21" s="9">
        <v>17179688.979027987</v>
      </c>
      <c r="D21" s="14" t="s">
        <v>3</v>
      </c>
      <c r="E21" s="1"/>
    </row>
    <row r="22" spans="1:5" x14ac:dyDescent="0.25">
      <c r="A22" s="1"/>
      <c r="B22" s="56" t="s">
        <v>181</v>
      </c>
      <c r="C22" s="9">
        <v>19111217</v>
      </c>
      <c r="D22" s="14" t="s">
        <v>3</v>
      </c>
      <c r="E22" s="1"/>
    </row>
    <row r="23" spans="1:5" x14ac:dyDescent="0.25">
      <c r="A23" s="1"/>
      <c r="B23" s="56" t="s">
        <v>28</v>
      </c>
      <c r="C23" s="9">
        <v>0</v>
      </c>
      <c r="D23" s="14" t="s">
        <v>3</v>
      </c>
      <c r="E23" s="1"/>
    </row>
    <row r="24" spans="1:5" x14ac:dyDescent="0.25">
      <c r="A24" s="1"/>
      <c r="B24" s="74" t="s">
        <v>182</v>
      </c>
      <c r="C24" s="46">
        <f>C21-C22-C23</f>
        <v>-1931528.0209720135</v>
      </c>
      <c r="D24" s="17" t="s">
        <v>3</v>
      </c>
      <c r="E24" s="1"/>
    </row>
    <row r="25" spans="1:5" x14ac:dyDescent="0.25">
      <c r="A25" s="1"/>
      <c r="B25" s="52"/>
      <c r="C25" s="53"/>
      <c r="D25" s="19"/>
      <c r="E25" s="1"/>
    </row>
    <row r="26" spans="1:5" x14ac:dyDescent="0.25">
      <c r="A26" s="1"/>
      <c r="B26" s="1"/>
      <c r="C26" s="1"/>
      <c r="D26" s="1"/>
      <c r="E26" s="1"/>
    </row>
    <row r="27" spans="1:5" x14ac:dyDescent="0.25">
      <c r="A27" s="1"/>
      <c r="B27" s="98" t="s">
        <v>183</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-2767151.4686113354</v>
      </c>
      <c r="D28" s="14" t="s">
        <v>3</v>
      </c>
      <c r="E28" s="1"/>
    </row>
    <row r="29" spans="1:5" x14ac:dyDescent="0.25">
      <c r="A29" s="1"/>
      <c r="B29" s="57" t="s">
        <v>48</v>
      </c>
      <c r="C29" s="9">
        <v>2</v>
      </c>
      <c r="D29" s="14" t="s">
        <v>18</v>
      </c>
      <c r="E29" s="1"/>
    </row>
    <row r="30" spans="1:5" x14ac:dyDescent="0.25">
      <c r="A30" s="1"/>
      <c r="B30" s="58" t="s">
        <v>64</v>
      </c>
      <c r="C30" s="10">
        <f>C28/C29</f>
        <v>-1383575.7343056677</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zN9UdnFEPY8/aENTR27Gwh8EujXUrJMg+I5YzgPznOCsybxyCrbbuQuDq+BWfb/pX+/LjvN8ReaINA+vVoeHvw==" saltValue="cXwqNOZJWh+/KZe3dj8uv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EG1m81qpL9OrrJBuW02pyqz36j0AWlEDoRrJj6DWTwKQJ6POO/GFok24rWoKNaRGMX5hMCrYFCkHj1GQswM7g==" saltValue="SgqVr8tJkQpjmcfNOL5LQ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191</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OvZHnTBSFMkhheW64mkmnHdsvx/UGIWKHLsv4fY6oX139vnkHxyp8wJQc25gKbT8+KNg4S9U2TRycXk+BbnCLA==" saltValue="ZV1Z/+yBaX3VXXh0Yvkgs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42866.38</v>
      </c>
      <c r="D11" s="14" t="s">
        <v>3</v>
      </c>
      <c r="E11" s="9">
        <v>0</v>
      </c>
      <c r="F11" s="14" t="s">
        <v>3</v>
      </c>
      <c r="G11" s="1"/>
    </row>
    <row r="12" spans="1:7" x14ac:dyDescent="0.25">
      <c r="A12" s="1"/>
      <c r="B12" s="26" t="s">
        <v>203</v>
      </c>
      <c r="C12" s="21">
        <v>102220</v>
      </c>
      <c r="D12" s="14" t="s">
        <v>3</v>
      </c>
      <c r="E12" s="9">
        <v>0</v>
      </c>
      <c r="F12" s="14" t="s">
        <v>3</v>
      </c>
      <c r="G12" s="1"/>
    </row>
    <row r="13" spans="1:7" x14ac:dyDescent="0.25">
      <c r="A13" s="1"/>
      <c r="B13" s="26" t="s">
        <v>204</v>
      </c>
      <c r="C13" s="21">
        <v>0</v>
      </c>
      <c r="D13" s="14" t="s">
        <v>3</v>
      </c>
      <c r="E13" s="9">
        <v>2343</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145086.38</v>
      </c>
      <c r="D17" s="13" t="s">
        <v>3</v>
      </c>
      <c r="E17" s="12">
        <f>SUM(E10:E16)</f>
        <v>2343</v>
      </c>
      <c r="F17" s="13" t="s">
        <v>3</v>
      </c>
      <c r="G17" s="1"/>
    </row>
    <row r="18" spans="1:7" x14ac:dyDescent="0.25">
      <c r="A18" s="1"/>
      <c r="B18" s="52" t="s">
        <v>147</v>
      </c>
      <c r="C18" s="12">
        <f>C17*(1+'Fane 13. Nøgletal'!C11)</f>
        <v>154705.606994</v>
      </c>
      <c r="D18" s="13" t="s">
        <v>3</v>
      </c>
      <c r="E18" s="12">
        <f>E17*(1+'Fane 13. Nøgletal'!C11)</f>
        <v>2498.3409000000001</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7uuc1jhVogx/PwcJiWq4KZd9k24S5LyEnlm9OUo9DZ+lI1ZYfX1yRWOOi/S1OGweTMqHlFGxLYlY2Sg1FlnkkQ==" saltValue="9RKHCrkCgJAr1S2FjT4is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1"/>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149</v>
      </c>
      <c r="C8" s="99"/>
      <c r="D8" s="99"/>
      <c r="E8" s="99"/>
      <c r="F8" s="100"/>
      <c r="G8" s="1"/>
    </row>
    <row r="9" spans="1:7" x14ac:dyDescent="0.25">
      <c r="A9" s="1"/>
      <c r="B9" s="72" t="s">
        <v>15</v>
      </c>
      <c r="C9" s="74" t="s">
        <v>10</v>
      </c>
      <c r="D9" s="75"/>
      <c r="E9" s="74" t="s">
        <v>26</v>
      </c>
      <c r="F9" s="27"/>
      <c r="G9" s="1"/>
    </row>
    <row r="10" spans="1:7" x14ac:dyDescent="0.25">
      <c r="A10" s="1"/>
      <c r="B10" s="23" t="s">
        <v>205</v>
      </c>
      <c r="C10" s="21">
        <v>259636</v>
      </c>
      <c r="D10" s="14" t="s">
        <v>3</v>
      </c>
      <c r="E10" s="9">
        <v>0</v>
      </c>
      <c r="F10" s="14" t="s">
        <v>3</v>
      </c>
      <c r="G10" s="1"/>
    </row>
    <row r="11" spans="1:7" x14ac:dyDescent="0.25">
      <c r="A11" s="1"/>
      <c r="B11" s="23" t="s">
        <v>206</v>
      </c>
      <c r="C11" s="21">
        <v>21315</v>
      </c>
      <c r="D11" s="14" t="s">
        <v>3</v>
      </c>
      <c r="E11" s="9">
        <v>0</v>
      </c>
      <c r="F11" s="14" t="s">
        <v>3</v>
      </c>
      <c r="G11" s="1"/>
    </row>
    <row r="12" spans="1:7" x14ac:dyDescent="0.25">
      <c r="A12" s="1"/>
      <c r="B12" s="23" t="s">
        <v>207</v>
      </c>
      <c r="C12" s="21">
        <v>44198</v>
      </c>
      <c r="D12" s="14" t="s">
        <v>3</v>
      </c>
      <c r="E12" s="9">
        <v>0</v>
      </c>
      <c r="F12" s="14" t="s">
        <v>3</v>
      </c>
      <c r="G12" s="1"/>
    </row>
    <row r="13" spans="1:7" x14ac:dyDescent="0.25">
      <c r="A13" s="1"/>
      <c r="B13" s="23"/>
      <c r="C13" s="21"/>
      <c r="D13" s="14" t="s">
        <v>3</v>
      </c>
      <c r="E13" s="9"/>
      <c r="F13" s="14" t="s">
        <v>3</v>
      </c>
      <c r="G13" s="1"/>
    </row>
    <row r="14" spans="1:7" x14ac:dyDescent="0.25">
      <c r="A14" s="1"/>
      <c r="B14" s="52" t="s">
        <v>208</v>
      </c>
      <c r="C14" s="12">
        <f>SUM(C10:C13)</f>
        <v>325149</v>
      </c>
      <c r="D14" s="13" t="s">
        <v>3</v>
      </c>
      <c r="E14" s="12">
        <f>SUM(E10:E13)</f>
        <v>0</v>
      </c>
      <c r="F14" s="13" t="s">
        <v>3</v>
      </c>
      <c r="G14" s="1"/>
    </row>
    <row r="15" spans="1:7" x14ac:dyDescent="0.25">
      <c r="A15" s="1"/>
      <c r="B15" s="52" t="s">
        <v>148</v>
      </c>
      <c r="C15" s="12">
        <f>C14*(1+'Fane 13. Nøgletal'!$C$11)^2</f>
        <v>369693.01160780998</v>
      </c>
      <c r="D15" s="13" t="s">
        <v>3</v>
      </c>
      <c r="E15" s="12">
        <f>E14*(1+'Fane 13. Nøgletal'!$C$11)^2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ht="18" customHeight="1"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fX6hjA5qt3NPW+egrAc8iNYhXfBKaPGbupI8PQjzlfVXQvrV0GRiP1XFYM/VStQJuxTj4C6SNbOvyhINSE7inQ==" saltValue="ExHN2caUYwbaOTpcDkLSj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189</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150</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gMUZxQFNv6295jWFWhBxf0PT4w1NMq4xFYF5pNQ/21b8z3t3NgFktdh0oEv3NxOuSYG6woBXH8yXmwuVaJmiFQ==" saltValue="tBMbBn499iK64/o88uacr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151</v>
      </c>
      <c r="C8" s="99"/>
      <c r="D8" s="99"/>
      <c r="E8" s="99"/>
      <c r="F8" s="100"/>
      <c r="G8" s="1"/>
    </row>
    <row r="9" spans="1:7" x14ac:dyDescent="0.25">
      <c r="A9" s="1"/>
      <c r="B9" s="54" t="s">
        <v>16</v>
      </c>
      <c r="C9" s="51" t="s">
        <v>10</v>
      </c>
      <c r="D9" s="27"/>
      <c r="E9" s="51" t="s">
        <v>26</v>
      </c>
      <c r="F9" s="27"/>
      <c r="G9" s="1"/>
    </row>
    <row r="10" spans="1:7" x14ac:dyDescent="0.25">
      <c r="A10" s="1"/>
      <c r="B10" s="60" t="s">
        <v>190</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188</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22L4i42D/Ftl9PSLRpTyNZPGHioL/3mpM9ZPJapt+8034+Eabg8jdAbR1sAj0DqffPPhG3ObxOq3GY+laOEmw==" saltValue="lWDeqgHkGdocZuUbRj9c0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186</v>
      </c>
      <c r="C9" s="49">
        <v>3.56E-2</v>
      </c>
      <c r="D9" s="1"/>
    </row>
    <row r="10" spans="1:4" x14ac:dyDescent="0.25">
      <c r="A10" s="1"/>
      <c r="B10" s="43" t="s">
        <v>185</v>
      </c>
      <c r="C10" s="49">
        <v>8.0799999999999997E-2</v>
      </c>
      <c r="D10" s="1"/>
    </row>
    <row r="11" spans="1:4" x14ac:dyDescent="0.25">
      <c r="A11" s="1"/>
      <c r="B11" s="43" t="s">
        <v>193</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187</v>
      </c>
      <c r="C16" s="37">
        <v>0</v>
      </c>
      <c r="D16" s="1"/>
    </row>
    <row r="17" spans="1:4" x14ac:dyDescent="0.25">
      <c r="A17" s="1"/>
      <c r="B17" s="43" t="s">
        <v>111</v>
      </c>
      <c r="C17" s="37">
        <v>0</v>
      </c>
      <c r="D17" s="1"/>
    </row>
    <row r="18" spans="1:4" x14ac:dyDescent="0.25">
      <c r="A18" s="1"/>
      <c r="B18" s="43" t="s">
        <v>194</v>
      </c>
      <c r="C18" s="64">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UwYs+c/7QWFSAn02i1Wuhqq5j/puMTUpg4+WdKh+BrIL4j1eYOOCf43/QJFiV2RL4YrsC0lIqkHhJxiZ+1zeLg==" saltValue="usqY6bbYLhg1Cg+vKy/rP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51"/>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10835619.722998977</v>
      </c>
      <c r="D9" s="8" t="s">
        <v>3</v>
      </c>
      <c r="E9" s="1"/>
    </row>
    <row r="10" spans="1:5" ht="17.100000000000001" customHeight="1" x14ac:dyDescent="0.25">
      <c r="A10" s="1"/>
      <c r="B10" s="24" t="s">
        <v>32</v>
      </c>
      <c r="C10" s="7">
        <f>'Fane 10.1. Varige tillæg'!C18</f>
        <v>154705.606994</v>
      </c>
      <c r="D10" s="8" t="s">
        <v>3</v>
      </c>
      <c r="E10" s="1"/>
    </row>
    <row r="11" spans="1:5" ht="17.100000000000001" customHeight="1" x14ac:dyDescent="0.25">
      <c r="A11" s="1"/>
      <c r="B11" s="24" t="s">
        <v>33</v>
      </c>
      <c r="C11" s="9">
        <f>'Fane 10.1. Varige tillæg'!E18</f>
        <v>2498.3409000000001</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728824.20938020432</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-107268.88639469544</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11614378.993878484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7534985.2741946904</v>
      </c>
      <c r="D22" s="11" t="s">
        <v>3</v>
      </c>
      <c r="E22" s="1"/>
    </row>
    <row r="23" spans="1:5" ht="15" customHeight="1" x14ac:dyDescent="0.25">
      <c r="A23" s="1"/>
      <c r="B23" s="52" t="s">
        <v>39</v>
      </c>
      <c r="C23" s="53"/>
      <c r="D23" s="19"/>
      <c r="E23" s="1"/>
    </row>
    <row r="24" spans="1:5" ht="15" customHeight="1" x14ac:dyDescent="0.25">
      <c r="A24" s="1"/>
      <c r="B24" s="24" t="s">
        <v>35</v>
      </c>
      <c r="C24" s="9">
        <f>'Fane 10.2. Engangstillæg'!C15</f>
        <v>369693.01160780998</v>
      </c>
      <c r="D24" s="8" t="s">
        <v>3</v>
      </c>
      <c r="E24" s="1"/>
    </row>
    <row r="25" spans="1:5" ht="15" customHeight="1" x14ac:dyDescent="0.25">
      <c r="A25" s="1"/>
      <c r="B25" s="24" t="s">
        <v>36</v>
      </c>
      <c r="C25" s="9">
        <f>'Fane 10.2. Engangstillæg'!E15</f>
        <v>0</v>
      </c>
      <c r="D25" s="8" t="s">
        <v>3</v>
      </c>
      <c r="E25" s="1"/>
    </row>
    <row r="26" spans="1:5" ht="15" customHeight="1" x14ac:dyDescent="0.25">
      <c r="A26" s="1"/>
      <c r="B26" s="24" t="s">
        <v>79</v>
      </c>
      <c r="C26" s="9">
        <f>-C24*('Fane 13. Nøgletal'!C23+'Fane 5. Individuelt eff. krav'!C9)</f>
        <v>-7393.8602321561993</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362299.1513756538</v>
      </c>
      <c r="D28" s="11" t="s">
        <v>3</v>
      </c>
      <c r="E28" s="1"/>
    </row>
    <row r="29" spans="1:5" ht="15" customHeight="1" x14ac:dyDescent="0.25">
      <c r="A29" s="1"/>
      <c r="B29" s="25" t="s">
        <v>65</v>
      </c>
      <c r="C29" s="53"/>
      <c r="D29" s="19"/>
      <c r="E29" s="1"/>
    </row>
    <row r="30" spans="1:5" x14ac:dyDescent="0.25">
      <c r="A30" s="1"/>
      <c r="B30" s="58" t="s">
        <v>66</v>
      </c>
      <c r="C30" s="10">
        <f>'Fane 7. Kontrol af ØR2023'!C30</f>
        <v>-1383575.7343056677</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25" t="s">
        <v>209</v>
      </c>
      <c r="C33" s="53"/>
      <c r="D33" s="19"/>
      <c r="E33" s="1"/>
    </row>
    <row r="34" spans="1:5" x14ac:dyDescent="0.25">
      <c r="A34" s="1"/>
      <c r="B34" s="58" t="s">
        <v>210</v>
      </c>
      <c r="C34" s="10">
        <v>281121.75526209595</v>
      </c>
      <c r="D34" s="11" t="s">
        <v>3</v>
      </c>
      <c r="E34" s="1"/>
    </row>
    <row r="35" spans="1:5" x14ac:dyDescent="0.25">
      <c r="A35" s="1"/>
      <c r="B35" s="52" t="s">
        <v>69</v>
      </c>
      <c r="C35" s="29">
        <f>SUM(C20,C22,C28,C30,C32,C34)</f>
        <v>18409209.440405257</v>
      </c>
      <c r="D35" s="19" t="s">
        <v>3</v>
      </c>
      <c r="E35" s="1"/>
    </row>
    <row r="36" spans="1:5" x14ac:dyDescent="0.25">
      <c r="A36" s="1"/>
      <c r="B36" s="1" t="s">
        <v>82</v>
      </c>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x14ac:dyDescent="0.25">
      <c r="A51" s="1"/>
      <c r="B51" s="1"/>
      <c r="C51" s="1"/>
      <c r="D51" s="1"/>
      <c r="E51" s="1"/>
    </row>
  </sheetData>
  <sheetProtection algorithmName="SHA-512" hashValue="Rey46xGLVpRk85kNCG80yMRkMYoeJSJzZErNSZZyfnX87VInUHpM7PC41ODsZfnTr6MZZ2WRqsiedTtSQMm+mA==" saltValue="RNgRUQvTtQZrYxsIIgvKK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11614378.993878484</v>
      </c>
      <c r="D9" s="8" t="s">
        <v>3</v>
      </c>
      <c r="E9" s="1"/>
    </row>
    <row r="10" spans="1:5" ht="15" customHeight="1" x14ac:dyDescent="0.25">
      <c r="A10" s="1"/>
      <c r="B10" s="47" t="s">
        <v>17</v>
      </c>
      <c r="C10" s="41">
        <f>C9*'Fane 13. Nøgletal'!C11</f>
        <v>770033.3272941435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-112093.19729141047</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12272319.123881217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8034554.7978737988</v>
      </c>
      <c r="D16" s="11" t="s">
        <v>3</v>
      </c>
      <c r="E16" s="1"/>
    </row>
    <row r="17" spans="1:5" x14ac:dyDescent="0.25">
      <c r="A17" s="1"/>
      <c r="B17" s="25" t="s">
        <v>65</v>
      </c>
      <c r="C17" s="53"/>
      <c r="D17" s="19"/>
      <c r="E17" s="1"/>
    </row>
    <row r="18" spans="1:5" ht="15" customHeight="1" x14ac:dyDescent="0.25">
      <c r="A18" s="1"/>
      <c r="B18" s="45" t="s">
        <v>66</v>
      </c>
      <c r="C18" s="10">
        <f>'Fane 7. Kontrol af ØR2023'!C30</f>
        <v>-1383575.7343056677</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18923298.187449347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qxi4AoBTGM7AkuUbDvkGvAlJ5sJruCsAJRw+yVt+lzlFfeWFxm/v+/28OCpAyxbdn63RIL2LXEZBTvm3KIzGA==" saltValue="OUab/kkpvcjb5P8C/E1Ay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12272319.123881217</v>
      </c>
      <c r="D9" s="8" t="s">
        <v>3</v>
      </c>
      <c r="E9" s="1"/>
    </row>
    <row r="10" spans="1:5" ht="15" customHeight="1" x14ac:dyDescent="0.25">
      <c r="A10" s="1"/>
      <c r="B10" s="47" t="s">
        <v>17</v>
      </c>
      <c r="C10" s="41">
        <f>C9*'Fane 13. Nøgletal'!C11</f>
        <v>813654.75791332463</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-117134.47674639437</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12968839.405048147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8567245.780972831</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21536085.186020978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jL9Wa3YhOAVtDP9+jo278E6YHqr87Ymk7pJ3CVyFthNh1YncdxT1kMUJgVo5J9rnfVy9BT3/aOEt1X2v6etcw==" saltValue="/qycSXbgyr95YMuH/jova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12968839.405048147</v>
      </c>
      <c r="D9" s="8" t="s">
        <v>3</v>
      </c>
      <c r="E9" s="1"/>
    </row>
    <row r="10" spans="1:5" ht="15" customHeight="1" x14ac:dyDescent="0.25">
      <c r="A10" s="1"/>
      <c r="B10" s="47" t="s">
        <v>17</v>
      </c>
      <c r="C10" s="9">
        <f>C9*'Fane 13. Nøgletal'!C11</f>
        <v>859834.05255469214</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-122402.48270358672</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13706270.974899253</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9135254.1762513313</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22841525.151150584</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tmQGbdcNu6ciiOFDmw5bdh24XA6R8MziQtR0atn1OOmISp7y5IQIpXx+g/+pvwQKY1xiNLbY/ujvToEVXG8Rw==" saltValue="zn+NU4sfYJZH6+fWT/bgI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10256460.659633603</v>
      </c>
      <c r="D9" s="8" t="s">
        <v>3</v>
      </c>
      <c r="E9" s="1"/>
    </row>
    <row r="10" spans="1:5" x14ac:dyDescent="0.25">
      <c r="A10" s="1"/>
      <c r="B10" s="24" t="s">
        <v>32</v>
      </c>
      <c r="C10" s="7">
        <v>310460.88079999998</v>
      </c>
      <c r="D10" s="8" t="s">
        <v>3</v>
      </c>
      <c r="E10" s="1"/>
    </row>
    <row r="11" spans="1:5" ht="15" customHeight="1" x14ac:dyDescent="0.25">
      <c r="A11" s="1"/>
      <c r="B11" s="24" t="s">
        <v>33</v>
      </c>
      <c r="C11" s="9">
        <v>43503.2808</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393730.30374023627</v>
      </c>
      <c r="D16" s="8" t="s">
        <v>3</v>
      </c>
      <c r="E16" s="1"/>
    </row>
    <row r="17" spans="1:5" x14ac:dyDescent="0.25">
      <c r="A17" s="1"/>
      <c r="B17" s="24" t="s">
        <v>9</v>
      </c>
      <c r="C17" s="9">
        <v>-69040.462542468886</v>
      </c>
      <c r="D17" s="8" t="s">
        <v>3</v>
      </c>
      <c r="E17" s="1"/>
    </row>
    <row r="18" spans="1:5" x14ac:dyDescent="0.25">
      <c r="A18" s="1"/>
      <c r="B18" s="24" t="s">
        <v>21</v>
      </c>
      <c r="C18" s="9">
        <v>-99494.939432393643</v>
      </c>
      <c r="D18" s="8" t="s">
        <v>3</v>
      </c>
      <c r="E18" s="1"/>
    </row>
    <row r="19" spans="1:5" x14ac:dyDescent="0.25">
      <c r="A19" s="1"/>
      <c r="B19" s="24" t="s">
        <v>22</v>
      </c>
      <c r="C19" s="9">
        <v>0</v>
      </c>
      <c r="D19" s="8" t="s">
        <v>3</v>
      </c>
      <c r="E19" s="1"/>
    </row>
    <row r="20" spans="1:5" x14ac:dyDescent="0.25">
      <c r="A20" s="1"/>
      <c r="B20" s="74" t="s">
        <v>19</v>
      </c>
      <c r="C20" s="10">
        <v>10835619.722998977</v>
      </c>
      <c r="D20" s="11" t="s">
        <v>3</v>
      </c>
      <c r="E20" s="1"/>
    </row>
    <row r="21" spans="1:5" x14ac:dyDescent="0.25">
      <c r="A21" s="1"/>
      <c r="B21" s="52" t="s">
        <v>11</v>
      </c>
      <c r="C21" s="53"/>
      <c r="D21" s="19"/>
      <c r="E21" s="1"/>
    </row>
    <row r="22" spans="1:5" x14ac:dyDescent="0.25">
      <c r="A22" s="1"/>
      <c r="B22" s="54" t="s">
        <v>11</v>
      </c>
      <c r="C22" s="10">
        <v>7656307.5977830393</v>
      </c>
      <c r="D22" s="11" t="s">
        <v>3</v>
      </c>
      <c r="E22" s="1"/>
    </row>
    <row r="23" spans="1:5" x14ac:dyDescent="0.25">
      <c r="A23" s="1"/>
      <c r="B23" s="52" t="s">
        <v>39</v>
      </c>
      <c r="C23" s="53"/>
      <c r="D23" s="19"/>
      <c r="E23" s="1"/>
    </row>
    <row r="24" spans="1:5" ht="15" customHeight="1" x14ac:dyDescent="0.25">
      <c r="A24" s="1"/>
      <c r="B24" s="24" t="s">
        <v>35</v>
      </c>
      <c r="C24" s="9">
        <v>69320.257883519997</v>
      </c>
      <c r="D24" s="8" t="s">
        <v>3</v>
      </c>
      <c r="E24" s="1"/>
    </row>
    <row r="25" spans="1:5" ht="14.25" customHeight="1" x14ac:dyDescent="0.25">
      <c r="A25" s="1"/>
      <c r="B25" s="24" t="s">
        <v>36</v>
      </c>
      <c r="C25" s="9">
        <v>0</v>
      </c>
      <c r="D25" s="8" t="s">
        <v>3</v>
      </c>
      <c r="E25" s="1"/>
    </row>
    <row r="26" spans="1:5" ht="14.25" customHeight="1" x14ac:dyDescent="0.25">
      <c r="A26" s="1"/>
      <c r="B26" s="24" t="s">
        <v>79</v>
      </c>
      <c r="C26" s="9">
        <v>-1821.322933136858</v>
      </c>
      <c r="D26" s="8" t="s">
        <v>3</v>
      </c>
      <c r="E26" s="1"/>
    </row>
    <row r="27" spans="1:5" ht="14.25" customHeight="1" x14ac:dyDescent="0.25">
      <c r="A27" s="1"/>
      <c r="B27" s="24" t="s">
        <v>80</v>
      </c>
      <c r="C27" s="9">
        <v>0</v>
      </c>
      <c r="D27" s="8" t="s">
        <v>3</v>
      </c>
      <c r="E27" s="1"/>
    </row>
    <row r="28" spans="1:5" ht="14.25" customHeight="1" x14ac:dyDescent="0.25">
      <c r="A28" s="1"/>
      <c r="B28" s="74" t="s">
        <v>40</v>
      </c>
      <c r="C28" s="63">
        <v>67498.934950383133</v>
      </c>
      <c r="D28" s="11" t="s">
        <v>3</v>
      </c>
      <c r="E28" s="1"/>
    </row>
    <row r="29" spans="1:5" x14ac:dyDescent="0.25">
      <c r="A29" s="1"/>
      <c r="B29" s="25" t="s">
        <v>65</v>
      </c>
      <c r="C29" s="53"/>
      <c r="D29" s="19"/>
      <c r="E29" s="1"/>
    </row>
    <row r="30" spans="1:5" x14ac:dyDescent="0.25">
      <c r="A30" s="1"/>
      <c r="B30" s="58" t="s">
        <v>66</v>
      </c>
      <c r="C30" s="10">
        <v>-204545</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18354881.255732398</v>
      </c>
      <c r="D33" s="19" t="s">
        <v>3</v>
      </c>
      <c r="E33" s="1"/>
    </row>
    <row r="34" spans="1:5" ht="30" customHeight="1" x14ac:dyDescent="0.25">
      <c r="A34" s="1"/>
      <c r="B34" s="97" t="s">
        <v>192</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AIInTIjq3uK+cKPUuUorgr1fXYJ/o97RsAfZNESroNjt6+7JBVR8OfmSDl/MKDB+SYppYHGxRRnj2qZ9mRQAlw==" saltValue="8fyvAmYiUBmAEBDdZQlzrA=="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166</v>
      </c>
      <c r="C9" s="22">
        <v>4639201.319677772</v>
      </c>
      <c r="D9" s="14" t="s">
        <v>3</v>
      </c>
      <c r="E9" s="1"/>
    </row>
    <row r="10" spans="1:5" x14ac:dyDescent="0.25">
      <c r="A10" s="1"/>
      <c r="B10" s="56" t="s">
        <v>110</v>
      </c>
      <c r="C10" s="22">
        <f>('Fane 3. Omkostninger i ØR2024'!C10+'Fane 3. Omkostninger i ØR2024'!C12+'Fane 3. Omkostninger i ØR2024'!C14)*(1+'Fane 13. Nøgletal'!C10)</f>
        <v>335546.11996863998</v>
      </c>
      <c r="D10" s="14" t="s">
        <v>3</v>
      </c>
      <c r="E10" s="1"/>
    </row>
    <row r="11" spans="1:5" x14ac:dyDescent="0.25">
      <c r="A11" s="1"/>
      <c r="B11" s="56" t="s">
        <v>81</v>
      </c>
      <c r="C11" s="22">
        <f>C9*'Fane 13. Nøgletal'!C23+C10*'Fane 13. Nøgletal'!C23</f>
        <v>99494.948792928233</v>
      </c>
      <c r="D11" s="14" t="s">
        <v>3</v>
      </c>
      <c r="E11" s="1"/>
    </row>
    <row r="12" spans="1:5" x14ac:dyDescent="0.25">
      <c r="A12" s="1"/>
      <c r="B12" s="52"/>
      <c r="C12" s="31"/>
      <c r="D12" s="19"/>
      <c r="E12" s="1"/>
    </row>
    <row r="13" spans="1:5" x14ac:dyDescent="0.25">
      <c r="A13" s="1"/>
      <c r="B13" s="1"/>
      <c r="C13" s="32"/>
      <c r="D13" s="1"/>
      <c r="E13" s="1"/>
    </row>
    <row r="14" spans="1:5" x14ac:dyDescent="0.25">
      <c r="A14" s="1"/>
      <c r="B14" s="98" t="s">
        <v>152</v>
      </c>
      <c r="C14" s="99"/>
      <c r="D14" s="100"/>
      <c r="E14" s="1"/>
    </row>
    <row r="15" spans="1:5" x14ac:dyDescent="0.25">
      <c r="A15" s="1"/>
      <c r="B15" s="56" t="s">
        <v>167</v>
      </c>
      <c r="C15" s="22">
        <f>(C9+C10-C11)*(1+'Fane 13. Nøgletal'!C11)</f>
        <v>5198481.7309970697</v>
      </c>
      <c r="D15" s="14" t="s">
        <v>3</v>
      </c>
      <c r="E15" s="1"/>
    </row>
    <row r="16" spans="1:5" x14ac:dyDescent="0.25">
      <c r="A16" s="1"/>
      <c r="B16" s="56" t="s">
        <v>153</v>
      </c>
      <c r="C16" s="22">
        <f>('Fane 2.1. Økonomisk ramme 2025'!C10+'Fane 2.1. Økonomisk ramme 2025'!C12+'Fane 2.1. Økonomisk ramme 2025'!C14)*(1+'Fane 13. Nøgletal'!C11)</f>
        <v>164962.5887377022</v>
      </c>
      <c r="D16" s="14" t="s">
        <v>3</v>
      </c>
      <c r="E16" s="1"/>
    </row>
    <row r="17" spans="1:5" x14ac:dyDescent="0.25">
      <c r="A17" s="1"/>
      <c r="B17" s="56" t="s">
        <v>154</v>
      </c>
      <c r="C17" s="22">
        <f>(C15+C16)*'Fane 13. Nøgletal'!C23</f>
        <v>107268.88639469544</v>
      </c>
      <c r="D17" s="14" t="s">
        <v>3</v>
      </c>
      <c r="E17" s="1"/>
    </row>
    <row r="18" spans="1:5" x14ac:dyDescent="0.25">
      <c r="A18" s="1"/>
      <c r="B18" s="52"/>
      <c r="C18" s="31"/>
      <c r="D18" s="19"/>
      <c r="E18" s="1"/>
    </row>
    <row r="19" spans="1:5" x14ac:dyDescent="0.25">
      <c r="A19" s="1"/>
      <c r="B19" s="1"/>
      <c r="C19" s="32"/>
      <c r="D19" s="1"/>
      <c r="E19" s="1"/>
    </row>
    <row r="20" spans="1:5" x14ac:dyDescent="0.25">
      <c r="A20" s="1"/>
      <c r="B20" s="98" t="s">
        <v>169</v>
      </c>
      <c r="C20" s="99"/>
      <c r="D20" s="100"/>
      <c r="E20" s="1"/>
    </row>
    <row r="21" spans="1:5" x14ac:dyDescent="0.25">
      <c r="A21" s="1"/>
      <c r="B21" s="56" t="s">
        <v>168</v>
      </c>
      <c r="C21" s="48">
        <f>(C15+C16-C17)*(1+'Fane 13. Nøgletal'!C11)</f>
        <v>5604659.8645705236</v>
      </c>
      <c r="D21" s="14" t="s">
        <v>3</v>
      </c>
      <c r="E21" s="1"/>
    </row>
    <row r="22" spans="1:5" x14ac:dyDescent="0.25">
      <c r="A22" s="1"/>
      <c r="B22" s="56" t="s">
        <v>170</v>
      </c>
      <c r="C22" s="48">
        <f>(C21)*'Fane 13. Nøgletal'!C23</f>
        <v>112093.19729141047</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5856723.8373197187</v>
      </c>
      <c r="D26" s="14" t="s">
        <v>3</v>
      </c>
      <c r="E26" s="1"/>
    </row>
    <row r="27" spans="1:5" x14ac:dyDescent="0.25">
      <c r="A27" s="1"/>
      <c r="B27" s="56" t="s">
        <v>118</v>
      </c>
      <c r="C27" s="48">
        <f>(C26)*'Fane 13. Nøgletal'!C23</f>
        <v>117134.47674639437</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6120124.1351793362</v>
      </c>
      <c r="D31" s="14" t="s">
        <v>3</v>
      </c>
      <c r="E31" s="1"/>
    </row>
    <row r="32" spans="1:5" x14ac:dyDescent="0.25">
      <c r="A32" s="1"/>
      <c r="B32" s="56" t="s">
        <v>138</v>
      </c>
      <c r="C32" s="48">
        <f>(C31)*'Fane 13. Nøgletal'!C23</f>
        <v>122402.48270358672</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wB+KsEFILoSrKQVQy4XCnsAAaUihF2Lan96jJ8d23YjrbtlVf8eAwnrRYyuev47l+Iqp48e2Cwu4i5jrHbNtyQ==" saltValue="BW41Gg0HAyVsAvVd3ipi5w=="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161</v>
      </c>
      <c r="C9" s="48">
        <v>6393193.3053948199</v>
      </c>
      <c r="D9" s="14" t="s">
        <v>3</v>
      </c>
      <c r="E9" s="1"/>
    </row>
    <row r="10" spans="1:5" x14ac:dyDescent="0.25">
      <c r="A10" s="1"/>
      <c r="B10" s="56" t="s">
        <v>113</v>
      </c>
      <c r="C10" s="48">
        <f>('Fane 3. Omkostninger i ØR2024'!C11+'Fane 3. Omkostninger i ØR2024'!C13+'Fane 3. Omkostninger i ØR2024'!C15)*(1+'Fane 13. Nøgletal'!C10)</f>
        <v>47018.345888639997</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155</v>
      </c>
      <c r="C14" s="99"/>
      <c r="D14" s="100"/>
      <c r="E14" s="1"/>
    </row>
    <row r="15" spans="1:5" x14ac:dyDescent="0.25">
      <c r="A15" s="1"/>
      <c r="B15" s="56" t="s">
        <v>162</v>
      </c>
      <c r="C15" s="48">
        <f>(C9+C10-C11)*(1+'Fane 13. Nøgletal'!C11)</f>
        <v>6867197.6837635534</v>
      </c>
      <c r="D15" s="14" t="s">
        <v>3</v>
      </c>
      <c r="E15" s="1"/>
    </row>
    <row r="16" spans="1:5" x14ac:dyDescent="0.25">
      <c r="A16" s="1"/>
      <c r="B16" s="56" t="s">
        <v>156</v>
      </c>
      <c r="C16" s="48">
        <f>('Fane 2.1. Økonomisk ramme 2025'!C11+'Fane 2.1. Økonomisk ramme 2025'!C13+'Fane 2.1. Økonomisk ramme 2025'!C15)*(1+'Fane 13. Nøgletal'!C11)</f>
        <v>2663.9809016700001</v>
      </c>
      <c r="D16" s="14" t="s">
        <v>3</v>
      </c>
      <c r="E16" s="1"/>
    </row>
    <row r="17" spans="1:5" x14ac:dyDescent="0.25">
      <c r="A17" s="1"/>
      <c r="B17" s="56" t="s">
        <v>157</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165</v>
      </c>
      <c r="C20" s="99"/>
      <c r="D20" s="100"/>
      <c r="E20" s="1"/>
    </row>
    <row r="21" spans="1:5" x14ac:dyDescent="0.25">
      <c r="A21" s="1"/>
      <c r="B21" s="56" t="s">
        <v>163</v>
      </c>
      <c r="C21" s="48">
        <f>(C15+C16-C17)*(1+'Fane 13. Nøgletal'!C11)</f>
        <v>7325333.4930325272</v>
      </c>
      <c r="D21" s="14" t="s">
        <v>3</v>
      </c>
      <c r="E21" s="1"/>
    </row>
    <row r="22" spans="1:5" x14ac:dyDescent="0.25">
      <c r="A22" s="1"/>
      <c r="B22" s="56" t="s">
        <v>164</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7811003.1036205841</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8328872.6093906295</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ZZqH+3xhlsCwaBF5n/+CCEzibwFMBjZ1KI+ki0pR0jxSyRGxfThA1IXZwiELKwYxFy8xJETgS7NxYIF0mx+ow==" saltValue="lm1wSFJMBcP3XLg8iVNcr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159</v>
      </c>
      <c r="C9" s="44">
        <v>0</v>
      </c>
      <c r="D9" s="1"/>
    </row>
    <row r="10" spans="1:4" x14ac:dyDescent="0.25">
      <c r="A10" s="1"/>
      <c r="B10" s="52"/>
      <c r="C10" s="19"/>
      <c r="D10" s="1"/>
    </row>
    <row r="11" spans="1:4" ht="15" customHeight="1" x14ac:dyDescent="0.25">
      <c r="A11" s="1"/>
      <c r="B11" s="103" t="s">
        <v>160</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G27pa0H4sre5GJyMk7qok5xS/Tsr2Tu9Q/OQCAYSwlFfSonkVSRmjNt1ZW7wWZKv1GYrakBGyh/QaKeNfxRMLw==" saltValue="xK9FIHrZl19qW977VvOBR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2024-09-06T09:51:45Z</dcterms:modified>
</cp:coreProperties>
</file>