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0" i="23"/>
  <c r="E16" i="22"/>
  <c r="E13" i="22"/>
  <c r="E10" i="22"/>
  <c r="G16" i="22"/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 s="1"/>
  <c r="E15" i="13"/>
  <c r="F11" i="11"/>
  <c r="F24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l="1"/>
  <c r="E9" i="22"/>
  <c r="E11" i="22" l="1"/>
  <c r="E12" i="22"/>
  <c r="E14" i="22" s="1"/>
  <c r="G14" i="22" s="1"/>
  <c r="G17" i="22" l="1"/>
  <c r="E9" i="23"/>
  <c r="E11" i="23" l="1"/>
  <c r="E12" i="23"/>
  <c r="E14" i="23" l="1"/>
  <c r="G14" i="23" s="1"/>
  <c r="G15" i="23" s="1"/>
</calcChain>
</file>

<file path=xl/sharedStrings.xml><?xml version="1.0" encoding="utf-8"?>
<sst xmlns="http://schemas.openxmlformats.org/spreadsheetml/2006/main" count="399" uniqueCount="193">
  <si>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</si>
  <si>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</si>
  <si>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</si>
  <si>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</si>
  <si>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</si>
  <si>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</si>
  <si>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</si>
  <si>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</si>
  <si>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</si>
  <si>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</si>
  <si>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</si>
  <si>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</si>
  <si>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</si>
  <si>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</si>
  <si>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</si>
  <si>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</si>
  <si>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</si>
  <si>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</si>
  <si>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</si>
  <si>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</si>
  <si>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</si>
  <si>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</si>
  <si>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</si>
  <si>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</si>
  <si>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</si>
  <si>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</si>
  <si>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</si>
  <si>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</si>
  <si>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</si>
  <si>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</si>
  <si>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</si>
  <si>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</si>
  <si>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</si>
  <si>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</si>
  <si>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</si>
  <si>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</si>
  <si>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</si>
  <si>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</si>
  <si>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</si>
  <si>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</si>
  <si>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</si>
  <si>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</si>
  <si>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</si>
  <si>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</si>
  <si>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</si>
  <si>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</si>
  <si>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</si>
  <si>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</si>
  <si>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</si>
  <si>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</si>
  <si>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</si>
  <si>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</si>
  <si>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</si>
  <si>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</si>
  <si>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</si>
  <si>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</si>
  <si>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</si>
  <si>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</si>
  <si>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</si>
  <si>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</si>
  <si>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</si>
  <si>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</si>
  <si>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</si>
  <si>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</si>
  <si>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</si>
  <si>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</si>
  <si>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</si>
  <si>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</si>
  <si>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</si>
  <si>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</si>
  <si>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</si>
  <si>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</si>
  <si>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</si>
  <si>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</si>
  <si>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</si>
  <si>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</si>
  <si>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</si>
  <si>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</si>
  <si>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</si>
  <si>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</si>
  <si>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</si>
  <si>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</si>
  <si>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</si>
  <si>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</si>
  <si>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</si>
  <si>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</si>
  <si>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</si>
  <si>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</si>
  <si>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</si>
  <si>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</si>
  <si>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</si>
  <si>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</si>
  <si>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</si>
  <si>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</si>
  <si>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</si>
  <si>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</si>
  <si>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</si>
  <si>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</si>
  <si>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</si>
  <si>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</si>
  <si>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</si>
  <si>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</si>
  <si>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</si>
  <si>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</si>
  <si>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</si>
  <si>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</si>
  <si>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</si>
  <si>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</si>
  <si>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</si>
  <si>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</si>
  <si>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</si>
  <si>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</si>
  <si>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</si>
  <si>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</si>
  <si>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</si>
  <si>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</si>
  <si>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</si>
  <si>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</si>
  <si>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</si>
  <si>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</si>
  <si>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</si>
  <si>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</si>
  <si>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</si>
  <si>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</si>
  <si>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</si>
  <si>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</si>
  <si>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</si>
  <si>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</si>
  <si>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</si>
  <si>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</si>
  <si>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</si>
  <si>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</si>
  <si>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</si>
  <si>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</si>
  <si>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</si>
  <si>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</si>
  <si>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</si>
  <si>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</si>
  <si>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</si>
  <si>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</si>
  <si>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</si>
  <si>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</si>
  <si>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</si>
  <si>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</si>
  <si>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</si>
  <si>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</si>
  <si>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</si>
  <si>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Beluftningstanke, Mek/EL</t>
  </si>
  <si>
    <t>Brønde</t>
  </si>
  <si>
    <t>Indløb med riste, Mek/EL</t>
  </si>
  <si>
    <t>Ledningsnet ≤ Ø 200 mm</t>
  </si>
  <si>
    <t>Pumpestationer i brønde (&lt; 6,25 m2), Mek/EL</t>
  </si>
  <si>
    <t>Slutafvanding, slam - højteknologisk (centrifuger), Mek/El</t>
  </si>
  <si>
    <t>Slutafvanding, slam - højteknologisk (centrifuger), SRO</t>
  </si>
  <si>
    <t>Strømpeforing ≤ Ø 200 mm</t>
  </si>
  <si>
    <t>Strømpeforing Ø 200 mm &lt; Ledningsnet ≤ Ø 500 mm</t>
  </si>
  <si>
    <t>Strømpeforing Ø 500 mm &lt; Ledningsnet ≤ Ø 800 mm</t>
  </si>
  <si>
    <t>Tryksatte minipumpestationer (husstandssystemer)</t>
  </si>
  <si>
    <t>Ø 200 mm &lt; Ledningsnet ≤ Ø 500 mm</t>
  </si>
  <si>
    <t>Ø 500 mm &lt; Ledningsnet ≤ Ø 800 mm</t>
  </si>
  <si>
    <t>Andre bygninger (tekniske installationer, målere mv.)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</si>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</sst>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-3426094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-3426094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0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0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5</v>
      </c>
      <c r="E10" s="12">
        <v>922687</v>
      </c>
      <c r="F10" s="12">
        <f>E10/D10</f>
        <v>184537.4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20</v>
      </c>
      <c r="E11" s="12">
        <v>131242</v>
      </c>
      <c r="F11" s="12">
        <f t="shared" ref="F11:F24" si="0">E11/D11</f>
        <v>6562.1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75</v>
      </c>
      <c r="E12" s="12">
        <v>87291</v>
      </c>
      <c r="F12" s="12">
        <f t="shared" si="0"/>
        <v>1163.8800000000001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20</v>
      </c>
      <c r="E13" s="12">
        <v>24225</v>
      </c>
      <c r="F13" s="12">
        <f t="shared" si="0"/>
        <v>1211.25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75</v>
      </c>
      <c r="E14" s="12">
        <v>2064574</v>
      </c>
      <c r="F14" s="12">
        <f t="shared" si="0"/>
        <v>27527.653333333332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20</v>
      </c>
      <c r="E15" s="12">
        <v>546097</v>
      </c>
      <c r="F15" s="12">
        <f t="shared" si="0"/>
        <v>27304.85</v>
      </c>
      <c r="G15" s="23" t="s">
        <v>4</v>
      </c>
      <c r="H15" s="2"/>
    </row>
    <row r="16" spans="1:8" ht="26.25" x14ac:dyDescent="0.25">
      <c r="A16" s="2"/>
      <c r="B16" s="101" t="s">
        <v>152</v>
      </c>
      <c r="C16" s="30">
        <v>2016</v>
      </c>
      <c r="D16" s="30">
        <v>20</v>
      </c>
      <c r="E16" s="12">
        <v>1611651</v>
      </c>
      <c r="F16" s="12">
        <f t="shared" si="0"/>
        <v>80582.55</v>
      </c>
      <c r="G16" s="23" t="s">
        <v>4</v>
      </c>
      <c r="H16" s="2"/>
    </row>
    <row r="17" spans="1:8" ht="26.25" x14ac:dyDescent="0.25">
      <c r="A17" s="2"/>
      <c r="B17" s="101" t="s">
        <v>153</v>
      </c>
      <c r="C17" s="30">
        <v>2016</v>
      </c>
      <c r="D17" s="30">
        <v>10</v>
      </c>
      <c r="E17" s="12">
        <v>142804</v>
      </c>
      <c r="F17" s="12">
        <f t="shared" si="0"/>
        <v>14280.4</v>
      </c>
      <c r="G17" s="23" t="s">
        <v>4</v>
      </c>
      <c r="H17" s="2"/>
    </row>
    <row r="18" spans="1:8" x14ac:dyDescent="0.25">
      <c r="A18" s="2"/>
      <c r="B18" s="101" t="s">
        <v>154</v>
      </c>
      <c r="C18" s="30">
        <v>2016</v>
      </c>
      <c r="D18" s="30">
        <v>50</v>
      </c>
      <c r="E18" s="12">
        <v>1428656</v>
      </c>
      <c r="F18" s="12">
        <f t="shared" si="0"/>
        <v>28573.119999999999</v>
      </c>
      <c r="G18" s="23" t="s">
        <v>4</v>
      </c>
      <c r="H18" s="2"/>
    </row>
    <row r="19" spans="1:8" ht="26.25" x14ac:dyDescent="0.25">
      <c r="A19" s="2"/>
      <c r="B19" s="101" t="s">
        <v>155</v>
      </c>
      <c r="C19" s="30">
        <v>2016</v>
      </c>
      <c r="D19" s="30">
        <v>50</v>
      </c>
      <c r="E19" s="12">
        <v>3312657</v>
      </c>
      <c r="F19" s="12">
        <f t="shared" si="0"/>
        <v>66253.14</v>
      </c>
      <c r="G19" s="23" t="s">
        <v>4</v>
      </c>
      <c r="H19" s="2"/>
    </row>
    <row r="20" spans="1:8" ht="26.25" x14ac:dyDescent="0.25">
      <c r="A20" s="2"/>
      <c r="B20" s="101" t="s">
        <v>156</v>
      </c>
      <c r="C20" s="30">
        <v>2016</v>
      </c>
      <c r="D20" s="30">
        <v>50</v>
      </c>
      <c r="E20" s="12">
        <v>488117</v>
      </c>
      <c r="F20" s="12">
        <f t="shared" si="0"/>
        <v>9762.34</v>
      </c>
      <c r="G20" s="23" t="s">
        <v>4</v>
      </c>
      <c r="H20" s="2"/>
    </row>
    <row r="21" spans="1:8" ht="26.25" x14ac:dyDescent="0.25">
      <c r="A21" s="2"/>
      <c r="B21" s="101" t="s">
        <v>157</v>
      </c>
      <c r="C21" s="30">
        <v>2016</v>
      </c>
      <c r="D21" s="30">
        <v>30</v>
      </c>
      <c r="E21" s="12">
        <v>322793</v>
      </c>
      <c r="F21" s="12">
        <f t="shared" si="0"/>
        <v>10759.766666666666</v>
      </c>
      <c r="G21" s="23" t="s">
        <v>4</v>
      </c>
      <c r="H21" s="2"/>
    </row>
    <row r="22" spans="1:8" x14ac:dyDescent="0.25">
      <c r="A22" s="2"/>
      <c r="B22" s="101" t="s">
        <v>158</v>
      </c>
      <c r="C22" s="30">
        <v>2016</v>
      </c>
      <c r="D22" s="30">
        <v>75</v>
      </c>
      <c r="E22" s="12">
        <v>230461</v>
      </c>
      <c r="F22" s="12">
        <f t="shared" si="0"/>
        <v>3072.8133333333335</v>
      </c>
      <c r="G22" s="23" t="s">
        <v>4</v>
      </c>
      <c r="H22" s="2"/>
    </row>
    <row r="23" spans="1:8" x14ac:dyDescent="0.25">
      <c r="A23" s="2"/>
      <c r="B23" s="101" t="s">
        <v>159</v>
      </c>
      <c r="C23" s="30">
        <v>2016</v>
      </c>
      <c r="D23" s="30">
        <v>75</v>
      </c>
      <c r="E23" s="12">
        <v>475356</v>
      </c>
      <c r="F23" s="12">
        <f t="shared" si="0"/>
        <v>6338.08</v>
      </c>
      <c r="G23" s="23" t="s">
        <v>4</v>
      </c>
      <c r="H23" s="2"/>
    </row>
    <row r="24" spans="1:8" ht="26.25" x14ac:dyDescent="0.25">
      <c r="A24" s="2"/>
      <c r="B24" s="101" t="s">
        <v>160</v>
      </c>
      <c r="C24" s="30">
        <v>2016</v>
      </c>
      <c r="D24" s="30">
        <v>75</v>
      </c>
      <c r="E24" s="12">
        <v>50267</v>
      </c>
      <c r="F24" s="12">
        <f t="shared" si="0"/>
        <v>670.22666666666669</v>
      </c>
      <c r="G24" s="23" t="s">
        <v>4</v>
      </c>
      <c r="H24" s="2"/>
    </row>
    <row r="25" spans="1:8" x14ac:dyDescent="0.25">
      <c r="A25" s="2"/>
      <c r="B25" s="83" t="s">
        <v>76</v>
      </c>
      <c r="C25" s="84"/>
      <c r="D25" s="84"/>
      <c r="E25" s="85"/>
      <c r="F25" s="21">
        <f>SUM(F10:F24)</f>
        <v>468599.57000000012</v>
      </c>
      <c r="G25" s="22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667083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506000</v>
      </c>
      <c r="H10" s="23" t="s">
        <v>4</v>
      </c>
      <c r="I10" s="2"/>
    </row>
    <row r="11" spans="1:9" x14ac:dyDescent="0.25">
      <c r="A11" s="2"/>
      <c r="B11" s="83" t="s">
        <v>177</v>
      </c>
      <c r="C11" s="84"/>
      <c r="D11" s="84"/>
      <c r="E11" s="84"/>
      <c r="F11" s="85"/>
      <c r="G11" s="21">
        <f>G9-G10</f>
        <v>161083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178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149634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100000</v>
      </c>
      <c r="H16" s="23" t="s">
        <v>4</v>
      </c>
      <c r="I16" s="2"/>
    </row>
    <row r="17" spans="1:9" x14ac:dyDescent="0.25">
      <c r="A17" s="2"/>
      <c r="B17" s="83" t="s">
        <v>178</v>
      </c>
      <c r="C17" s="84"/>
      <c r="D17" s="84"/>
      <c r="E17" s="84"/>
      <c r="F17" s="85"/>
      <c r="G17" s="21">
        <f>G15-G16</f>
        <v>49634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179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111930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237000</v>
      </c>
      <c r="H22" s="23" t="s">
        <v>4</v>
      </c>
      <c r="I22" s="2"/>
    </row>
    <row r="23" spans="1:9" x14ac:dyDescent="0.25">
      <c r="A23" s="2"/>
      <c r="B23" s="83" t="s">
        <v>179</v>
      </c>
      <c r="C23" s="84"/>
      <c r="D23" s="84"/>
      <c r="E23" s="84"/>
      <c r="F23" s="85"/>
      <c r="G23" s="21">
        <f>G21-G22</f>
        <v>-125070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180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180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2016'!F25</f>
        <v>468599.57000000012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443333.33333333337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25266.236666666751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35216735.724313252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18055272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1748408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354642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787106.56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20945428.559999999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476238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476238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-669888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-11838878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-12508766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8912900.5599999987</v>
      </c>
      <c r="F28" s="28" t="s">
        <v>4</v>
      </c>
      <c r="G28" s="1">
        <f>IF(E28&lt;0,0,-E28)</f>
        <v>-8912900.5599999987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19923722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1464408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21388130</v>
      </c>
      <c r="F35" s="28" t="s">
        <v>4</v>
      </c>
      <c r="G35" s="18">
        <f>-E35</f>
        <v>-21388130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4915705.164313253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173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174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169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186</v>
      </c>
      <c r="C16" s="77"/>
      <c r="D16" s="77"/>
      <c r="E16" s="78"/>
      <c r="F16" s="98" t="s">
        <v>170</v>
      </c>
      <c r="G16" s="98"/>
      <c r="H16" s="2"/>
    </row>
    <row r="17" spans="1:8" x14ac:dyDescent="0.25">
      <c r="A17" s="2"/>
      <c r="B17" s="73" t="s">
        <v>182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171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172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181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35355672.777015246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805431.91940509994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omk.'!G19</f>
        <v>-187421.68172749999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184</v>
      </c>
      <c r="C12" s="38"/>
      <c r="D12" s="39"/>
      <c r="E12" s="12">
        <f>'Fane 5. Individuelt eff.krav'!G10</f>
        <v>-585842.16481304355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169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605192.15628330735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641771.13486956805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175</v>
      </c>
      <c r="C22" s="81"/>
      <c r="D22" s="82"/>
      <c r="E22" s="18">
        <f>SUM(E9,E11:E17,E19)-SUM(E20:E21)</f>
        <v>34545829.951888442</v>
      </c>
      <c r="F22" s="19" t="s">
        <v>4</v>
      </c>
      <c r="G22" s="18">
        <f>E22</f>
        <v>34545829.951888442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161083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49634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-125070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25266.236666666751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110913.23666666675</v>
      </c>
      <c r="F31" s="19" t="s">
        <v>4</v>
      </c>
      <c r="G31" s="18">
        <f>E31</f>
        <v>110913.23666666675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4915705.164313253</v>
      </c>
      <c r="F33" s="19" t="s">
        <v>4</v>
      </c>
      <c r="G33" s="18">
        <f>E33</f>
        <v>4915705.164313253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39572448.352868363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34545829.951888442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628825.41683695803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604552.02415804775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640883.43888918846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175</v>
      </c>
      <c r="C14" s="81"/>
      <c r="D14" s="82"/>
      <c r="E14" s="18">
        <f>$E$9+$E$11-$E$12-$E$13</f>
        <v>34509498.537157297</v>
      </c>
      <c r="F14" s="19" t="s">
        <v>4</v>
      </c>
      <c r="G14" s="18">
        <f>E14</f>
        <v>34509498.537157297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34509498.537157297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187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188</v>
      </c>
      <c r="C9" s="71"/>
      <c r="D9" s="72"/>
      <c r="E9" s="8">
        <f>'Fane 2.2. Økonomisk ramme 2019'!G14</f>
        <v>34509498.537157297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2018'!E18/100)^2</f>
        <v>639829.86163160484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603916.22440025269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639997.79298829613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175</v>
      </c>
      <c r="C14" s="81"/>
      <c r="D14" s="82"/>
      <c r="E14" s="18">
        <f>$E$9+$E$11-$E$12-$E$13</f>
        <v>34473416.968569256</v>
      </c>
      <c r="F14" s="19" t="s">
        <v>4</v>
      </c>
      <c r="G14" s="18">
        <f>E14</f>
        <v>34473416.968569256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189</v>
      </c>
      <c r="C17" s="84"/>
      <c r="D17" s="84"/>
      <c r="E17" s="84"/>
      <c r="F17" s="85"/>
      <c r="G17" s="21">
        <f>G14+G16</f>
        <v>34473416.968569256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190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191</v>
      </c>
      <c r="C9" s="71"/>
      <c r="D9" s="72"/>
      <c r="E9" s="8">
        <f>'Fane 2.3. Økonomisk ramme 2020'!G14</f>
        <v>34473416.968569256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2018'!E18/100)^3</f>
        <v>651026.88421015791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603284.79694996204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639114.19156877033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175</v>
      </c>
      <c r="C14" s="81"/>
      <c r="D14" s="82"/>
      <c r="E14" s="18">
        <f>$E$9+$E$11-$E$12-$E$13</f>
        <v>34437587.573950447</v>
      </c>
      <c r="F14" s="19" t="s">
        <v>4</v>
      </c>
      <c r="G14" s="18">
        <f>E14</f>
        <v>34437587.573950447</v>
      </c>
      <c r="H14" s="19" t="s">
        <v>4</v>
      </c>
      <c r="I14" s="2"/>
    </row>
    <row r="15" spans="1:9" x14ac:dyDescent="0.25">
      <c r="A15" s="2"/>
      <c r="B15" s="83" t="s">
        <v>192</v>
      </c>
      <c r="C15" s="84"/>
      <c r="D15" s="84"/>
      <c r="E15" s="84"/>
      <c r="F15" s="85"/>
      <c r="G15" s="21">
        <f>G14</f>
        <v>34437587.573950447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12010581.923892936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22539658.933717206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805431.91940509994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35355672.777015246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161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162</v>
      </c>
      <c r="C11" s="74"/>
      <c r="D11" s="74"/>
      <c r="E11" s="100">
        <v>42821.656999999999</v>
      </c>
      <c r="F11" s="23" t="s">
        <v>4</v>
      </c>
      <c r="G11" s="12">
        <v>45282</v>
      </c>
      <c r="H11" s="23" t="s">
        <v>4</v>
      </c>
      <c r="I11" s="2"/>
    </row>
    <row r="12" spans="1:9" x14ac:dyDescent="0.25">
      <c r="A12" s="2"/>
      <c r="B12" s="73" t="s">
        <v>163</v>
      </c>
      <c r="C12" s="74"/>
      <c r="D12" s="74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164</v>
      </c>
      <c r="C13" s="74"/>
      <c r="D13" s="74"/>
      <c r="E13" s="100">
        <v>32399.4126</v>
      </c>
      <c r="F13" s="23" t="s">
        <v>4</v>
      </c>
      <c r="G13" s="12">
        <v>38205</v>
      </c>
      <c r="H13" s="23" t="s">
        <v>4</v>
      </c>
      <c r="I13" s="2"/>
    </row>
    <row r="14" spans="1:9" x14ac:dyDescent="0.25">
      <c r="A14" s="2"/>
      <c r="B14" s="73" t="s">
        <v>165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166</v>
      </c>
      <c r="C15" s="74"/>
      <c r="D15" s="74"/>
      <c r="E15" s="100">
        <v>720110.14339999994</v>
      </c>
      <c r="F15" s="23" t="s">
        <v>4</v>
      </c>
      <c r="G15" s="12">
        <v>527646</v>
      </c>
      <c r="H15" s="23" t="s">
        <v>4</v>
      </c>
      <c r="I15" s="2"/>
    </row>
    <row r="16" spans="1:9" x14ac:dyDescent="0.25">
      <c r="A16" s="2"/>
      <c r="B16" s="73" t="s">
        <v>167</v>
      </c>
      <c r="C16" s="74"/>
      <c r="D16" s="74"/>
      <c r="E16" s="100">
        <v>0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73" t="s">
        <v>168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3" t="s">
        <v>134</v>
      </c>
      <c r="C18" s="84"/>
      <c r="D18" s="84"/>
      <c r="E18" s="84"/>
      <c r="F18" s="85"/>
      <c r="G18" s="21">
        <f>SUM(G10:G17)-SUM(E10:E17)</f>
        <v>-184198.21299999999</v>
      </c>
      <c r="H18" s="22" t="s">
        <v>4</v>
      </c>
      <c r="I18" s="2"/>
    </row>
    <row r="19" spans="1:9" x14ac:dyDescent="0.25">
      <c r="A19" s="2"/>
      <c r="B19" s="83" t="s">
        <v>135</v>
      </c>
      <c r="C19" s="84"/>
      <c r="D19" s="84"/>
      <c r="E19" s="84"/>
      <c r="F19" s="85"/>
      <c r="G19" s="21">
        <f>G18*(1+'Fane 2.1. Økonomisk ramme 2018'!E18/100)</f>
        <v>-187421.68172749999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34550240.857610144</v>
      </c>
      <c r="H9" s="23" t="s">
        <v>4</v>
      </c>
      <c r="I9" s="2"/>
    </row>
    <row r="10" spans="1:9" x14ac:dyDescent="0.25">
      <c r="A10" s="2"/>
      <c r="B10" s="40" t="s">
        <v>184</v>
      </c>
      <c r="C10" s="38"/>
      <c r="D10" s="38"/>
      <c r="E10" s="38"/>
      <c r="F10" s="39"/>
      <c r="G10" s="12">
        <v>-585842.16481304355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12010581.923892936</v>
      </c>
      <c r="H9" s="23" t="s">
        <v>4</v>
      </c>
      <c r="I9" s="2"/>
    </row>
    <row r="10" spans="1:9" x14ac:dyDescent="0.25">
      <c r="A10" s="2"/>
      <c r="B10" s="41" t="s">
        <v>183</v>
      </c>
      <c r="C10" s="42"/>
      <c r="D10" s="42"/>
      <c r="E10" s="42"/>
      <c r="F10" s="43"/>
      <c r="G10" s="12">
        <v>-240211.63847785871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239527.03530819685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22539658.933717206</v>
      </c>
      <c r="H13" s="23" t="s">
        <v>4</v>
      </c>
      <c r="I13" s="2"/>
    </row>
    <row r="14" spans="1:9" x14ac:dyDescent="0.25">
      <c r="A14" s="2"/>
      <c r="B14" s="40" t="s">
        <v>185</v>
      </c>
      <c r="C14" s="38"/>
      <c r="D14" s="38"/>
      <c r="E14" s="38"/>
      <c r="F14" s="39"/>
      <c r="G14" s="12">
        <v>-204862.528360595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402244.09956137126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641771.13486956805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2018-08-13T10:49:35Z</dcterms:modified>
</cp:coreProperties>
</file>