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C18" i="15" l="1"/>
  <c r="C13" i="15" l="1"/>
  <c r="E11" i="11" l="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2" i="34" l="1"/>
  <c r="E18" i="34" l="1"/>
  <c r="E20" i="34" s="1"/>
  <c r="G21" i="34" s="1"/>
  <c r="G22" i="34" s="1"/>
  <c r="C23" i="23" s="1"/>
  <c r="E23" i="23" s="1"/>
  <c r="C16" i="23" l="1"/>
  <c r="C21" i="22"/>
  <c r="C21" i="15"/>
  <c r="C23" i="2"/>
  <c r="G12" i="34" l="1"/>
  <c r="G10" i="30" l="1"/>
  <c r="C16" i="2" s="1"/>
  <c r="C14" i="15" s="1"/>
  <c r="C14" i="22" s="1"/>
  <c r="G12" i="30"/>
  <c r="C17" i="2" s="1"/>
  <c r="C15" i="15" s="1"/>
  <c r="C15" i="22" s="1"/>
  <c r="E10" i="11" l="1"/>
  <c r="G114" i="11"/>
  <c r="F114" i="11"/>
  <c r="D10" i="20" s="1"/>
  <c r="C33" i="2" l="1"/>
  <c r="C17" i="23" l="1"/>
  <c r="E17" i="23" s="1"/>
  <c r="C22" i="22" l="1"/>
  <c r="E22" i="22" s="1"/>
  <c r="C22" i="15"/>
  <c r="E22" i="15" s="1"/>
  <c r="C24" i="2"/>
  <c r="E24" i="2" s="1"/>
  <c r="G13" i="27"/>
  <c r="D11" i="20" l="1"/>
  <c r="F11" i="21"/>
  <c r="F12" i="21" s="1"/>
  <c r="C13" i="2" s="1"/>
  <c r="D11" i="21"/>
  <c r="D12" i="21" s="1"/>
  <c r="C12" i="2" s="1"/>
  <c r="C9" i="2"/>
  <c r="E15" i="19"/>
  <c r="E16" i="19" s="1"/>
  <c r="C26" i="2" l="1"/>
  <c r="C28" i="2" s="1"/>
  <c r="E28" i="2" s="1"/>
  <c r="C24" i="22"/>
  <c r="C26" i="22" s="1"/>
  <c r="E26" i="22" s="1"/>
  <c r="C19" i="23"/>
  <c r="C24" i="15"/>
  <c r="C26" i="15" l="1"/>
  <c r="E26" i="15" s="1"/>
  <c r="C21" i="23"/>
  <c r="E21" i="23" s="1"/>
  <c r="G11" i="10"/>
  <c r="E33" i="2" l="1"/>
  <c r="G13" i="10"/>
  <c r="C28" i="15" s="1"/>
  <c r="E113" i="11"/>
  <c r="E28" i="15" l="1"/>
  <c r="D12" i="20"/>
  <c r="C10" i="2" s="1"/>
  <c r="C10" i="15" l="1"/>
  <c r="C10" i="22" s="1"/>
  <c r="C18" i="2"/>
  <c r="C16" i="15" s="1"/>
  <c r="C16" i="22" s="1"/>
  <c r="C11" i="23" s="1"/>
  <c r="E112" i="11"/>
  <c r="E114" i="11" l="1"/>
  <c r="F10" i="20" s="1"/>
  <c r="F11" i="20" s="1"/>
  <c r="F12" i="20" s="1"/>
  <c r="C11" i="2" s="1"/>
  <c r="C35" i="2"/>
  <c r="E35" i="2" s="1"/>
  <c r="C19" i="2" l="1"/>
  <c r="C17" i="15" s="1"/>
  <c r="C17" i="22" s="1"/>
  <c r="C12" i="23" s="1"/>
  <c r="C11" i="15"/>
  <c r="C11" i="22" s="1"/>
  <c r="C14" i="2"/>
  <c r="C15" i="2" l="1"/>
  <c r="C20" i="2" s="1"/>
  <c r="E20" i="2" s="1"/>
  <c r="E36" i="2" s="1"/>
  <c r="C9" i="15" l="1"/>
  <c r="C12" i="15" s="1"/>
  <c r="E18" i="15" l="1"/>
  <c r="E29" i="15" s="1"/>
  <c r="C9" i="22" l="1"/>
  <c r="C12" i="22" l="1"/>
  <c r="C13" i="22" s="1"/>
  <c r="C18" i="22" l="1"/>
  <c r="E18" i="22" s="1"/>
  <c r="E27" i="22" s="1"/>
  <c r="C8" i="23" l="1"/>
  <c r="C9" i="23" l="1"/>
  <c r="C10" i="23" s="1"/>
  <c r="C13" i="23" l="1"/>
  <c r="E13" i="23" s="1"/>
  <c r="E24" i="23" s="1"/>
</calcChain>
</file>

<file path=xl/sharedStrings.xml><?xml version="1.0" encoding="utf-8"?>
<sst xmlns="http://schemas.openxmlformats.org/spreadsheetml/2006/main" count="647" uniqueCount="170">
  <si>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</si>
  <si>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</si>
  <si>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</si>
  <si>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</si>
  <si>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</si>
  <si>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</si>
  <si>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</si>
  <si>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</si>
  <si>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</si>
  <si>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</si>
  <si>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</si>
  <si>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</si>
  <si>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</si>
  <si>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</si>
  <si>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</si>
  <si>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</si>
  <si>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</si>
  <si>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</si>
  <si>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</si>
  <si>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</si>
  <si>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</si>
  <si>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</si>
  <si>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</si>
  <si>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</si>
  <si>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</si>
  <si>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</si>
  <si>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</si>
  <si>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</si>
  <si>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</si>
  <si>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</si>
  <si>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</si>
  <si>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</si>
  <si>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</si>
  <si>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</si>
  <si>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</si>
  <si>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</si>
  <si>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</si>
  <si>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</si>
  <si>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</si>
  <si>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</si>
  <si>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</si>
  <si>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</si>
  <si>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</si>
  <si>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</si>
  <si>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</si>
  <si>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</si>
  <si>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</si>
  <si>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</si>
  <si>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</si>
  <si>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</si>
  <si>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</si>
  <si>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</si>
  <si>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</si>
  <si>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</si>
  <si>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</si>
  <si>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</si>
  <si>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</si>
  <si>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</si>
  <si>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</si>
  <si>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</si>
  <si>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</si>
  <si>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</si>
  <si>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</si>
  <si>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</si>
  <si>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</si>
  <si>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</si>
  <si>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</si>
  <si>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</si>
  <si>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</si>
  <si>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</si>
  <si>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</si>
  <si>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</si>
  <si>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</si>
  <si>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</si>
  <si>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</si>
  <si>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</si>
  <si>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</si>
  <si>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</si>
  <si>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</si>
  <si>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</si>
  <si>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</si>
  <si>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</si>
  <si>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</si>
  <si>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</si>
  <si>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</si>
  <si>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</si>
  <si>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</si>
  <si>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</si>
  <si>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</si>
  <si>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</si>
  <si>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</si>
  <si>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</si>
  <si>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</si>
  <si>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</si>
  <si>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</si>
  <si>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</si>
  <si>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</si>
  <si>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</si>
  <si>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</si>
  <si>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</si>
  <si>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</si>
  <si>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</si>
  <si>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</si>
  <si>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</si>
  <si>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</si>
  <si>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</si>
  <si>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</si>
  <si>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</si>
  <si>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</si>
  <si>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</si>
  <si>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</si>
  <si>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</si>
  <si>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Kontrol med overholdelse af den økonomiske ramme for 2017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</si>
  <si>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</si>
  <si>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</si>
  <si>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</si>
  <si>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</si>
  <si>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</si>
  <si>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</si>
  <si>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</si>
  <si>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</si>
  <si>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</si>
  <si>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</si>
  <si>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</si>
  <si>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</si>
  <si>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</si>
  <si>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</si>
  <si>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</si>
  <si>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Generelt effektiviseringskrav på videreførte omkostninger - Drift</t>
  </si>
  <si>
    <t>Generelt effektiviseringskrav på videreførte omkostninger - Anlæg</t>
  </si>
  <si>
    <t>Generelt effektiviseringskrav på nye omkostninger - Drift</t>
  </si>
  <si>
    <t>Generelt effektiviseringskrav på nye omkostninger - Anlæg</t>
  </si>
  <si>
    <t xml:space="preserve"> -Heraf nye omkostninger i ØR19 - Drift</t>
  </si>
  <si>
    <t xml:space="preserve"> -Heraf nye omkostninger i ØR19 - Anlæg</t>
  </si>
  <si>
    <t>Generelt effektiviseringskrav anvendt til drift i ØR18-ØR21</t>
  </si>
  <si>
    <t>Generelt effektiviseringskrav anvendt til anlæg i ØR18-ØR21</t>
  </si>
  <si>
    <t>Til indregning i de økonomiske rammer for 2022-2025</t>
  </si>
  <si>
    <t>Fradrag i den økonomiske ramme for 2022-2025 i alt (2017-prisniveau)</t>
  </si>
  <si>
    <t>Fradrag i den økonomiske ramme for 2022-2025 i alt (2022-prisniveau)</t>
  </si>
  <si>
    <t>Spildevandsafgift</t>
  </si>
  <si>
    <t>Afgift til Forsyningsekretariatet</t>
  </si>
  <si>
    <t>Skatter og afgifter</t>
  </si>
  <si>
    <t>Selskabsskatter</t>
  </si>
  <si>
    <t>Tjenestemandspensioner</t>
  </si>
  <si>
    <t>Periodevise driftsomkostninger under prisloftsbekendtgørelsen</t>
  </si>
  <si>
    <t>Ingen bortfald eller nedsættelse</t>
  </si>
  <si>
    <t>Ledningsnet ≤ Ø 200 mm</t>
  </si>
  <si>
    <t>Ø 200 mm &lt; Ledningsnet ≤ Ø 500 mm</t>
  </si>
  <si>
    <t>Ø 1200 mm &lt; Ledningsnet ≤ Ø 1600 mm</t>
  </si>
  <si>
    <t>Brønde</t>
  </si>
  <si>
    <t>Stik</t>
  </si>
  <si>
    <t>Jordbassin Klasse B</t>
  </si>
  <si>
    <t>Ø 500 mm &lt; Ledningsnet ≤ Ø 800 mm</t>
  </si>
  <si>
    <t>Kælder</t>
  </si>
  <si>
    <t>Pumpeinstallation Miljøklasse B (600-1.000 l/s) - Mek/EL</t>
  </si>
  <si>
    <t>Pumpeinstallation Miljøklasse B (600-1.000 l/s) - SRO</t>
  </si>
  <si>
    <t>Ø 1000 mm &lt; Ledningsnet ≤ Ø 1200 mm</t>
  </si>
  <si>
    <t>Strømpeforing Ø 200 mm &lt; Ledningsnet ≤ Ø 500 mm</t>
  </si>
  <si>
    <t>Ø 800 mm &lt; Ledningsnet ≤ Ø 1000 mm</t>
  </si>
  <si>
    <t>Strømpeforing ≤ Ø 200 mm</t>
  </si>
  <si>
    <t>Pumpestationer i brønde (&lt; 6,25 m2), Konstruktioner</t>
  </si>
  <si>
    <t>Pumpestationer i brønde (&lt; 6,25 m2), Mek/EL</t>
  </si>
  <si>
    <t>Pumpestationer i brønde (&lt; 6,25 m2), SRO</t>
  </si>
  <si>
    <t>Indløb-/udløbsarrangement</t>
  </si>
  <si>
    <t>75</t>
  </si>
  <si>
    <t>50</t>
  </si>
  <si>
    <t>20</t>
  </si>
  <si>
    <t>10</t>
  </si>
  <si>
    <t>Fane 10: Bortfald eller nedsættelse af omkostninger til mål, medfinansiering eller udvidelse</t>
  </si>
  <si>
    <t>Fane 11: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</si>
</sst>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2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1" t="s">
        <v>3</v>
      </c>
      <c r="E6" s="81"/>
      <c r="F6" s="81"/>
      <c r="G6" s="81"/>
      <c r="H6" s="3"/>
      <c r="I6" s="1"/>
    </row>
    <row r="7" spans="1:9" ht="15" customHeight="1" x14ac:dyDescent="0.25">
      <c r="A7" s="1"/>
      <c r="B7" s="1"/>
      <c r="C7" s="3"/>
      <c r="D7" s="81"/>
      <c r="E7" s="81"/>
      <c r="F7" s="81"/>
      <c r="G7" s="81"/>
      <c r="H7" s="3"/>
      <c r="I7" s="1"/>
    </row>
    <row r="8" spans="1:9" ht="15.75" x14ac:dyDescent="0.25">
      <c r="A8" s="1"/>
      <c r="B8" s="1"/>
      <c r="C8" s="4"/>
      <c r="D8" s="83" t="s">
        <v>118</v>
      </c>
      <c r="E8" s="83"/>
      <c r="F8" s="83"/>
      <c r="G8" s="8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2" t="s">
        <v>4</v>
      </c>
      <c r="E11" s="82"/>
      <c r="F11" s="82"/>
      <c r="G11" s="8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78" t="s">
        <v>31</v>
      </c>
      <c r="E13" s="79"/>
      <c r="F13" s="79"/>
      <c r="G13" s="80"/>
      <c r="H13" s="1"/>
      <c r="I13" s="1"/>
    </row>
    <row r="14" spans="1:9" x14ac:dyDescent="0.25">
      <c r="A14" s="1"/>
      <c r="B14" s="1"/>
      <c r="C14" s="6" t="s">
        <v>30</v>
      </c>
      <c r="D14" s="78" t="s">
        <v>93</v>
      </c>
      <c r="E14" s="79"/>
      <c r="F14" s="79"/>
      <c r="G14" s="80"/>
      <c r="H14" s="1"/>
      <c r="I14" s="1"/>
    </row>
    <row r="15" spans="1:9" x14ac:dyDescent="0.25">
      <c r="A15" s="1"/>
      <c r="B15" s="1"/>
      <c r="C15" s="6" t="s">
        <v>92</v>
      </c>
      <c r="D15" s="78" t="s">
        <v>95</v>
      </c>
      <c r="E15" s="79"/>
      <c r="F15" s="79"/>
      <c r="G15" s="80"/>
      <c r="H15" s="1"/>
      <c r="I15" s="1"/>
    </row>
    <row r="16" spans="1:9" x14ac:dyDescent="0.25">
      <c r="A16" s="1"/>
      <c r="B16" s="1"/>
      <c r="C16" s="6" t="s">
        <v>94</v>
      </c>
      <c r="D16" s="78" t="s">
        <v>119</v>
      </c>
      <c r="E16" s="79"/>
      <c r="F16" s="79"/>
      <c r="G16" s="80"/>
      <c r="H16" s="1"/>
      <c r="I16" s="1"/>
    </row>
    <row r="17" spans="1:9" x14ac:dyDescent="0.25">
      <c r="A17" s="1"/>
      <c r="B17" s="1"/>
      <c r="C17" s="6" t="s">
        <v>6</v>
      </c>
      <c r="D17" s="84" t="s">
        <v>96</v>
      </c>
      <c r="E17" s="85"/>
      <c r="F17" s="85"/>
      <c r="G17" s="86"/>
      <c r="H17" s="1"/>
      <c r="I17" s="1"/>
    </row>
    <row r="18" spans="1:9" x14ac:dyDescent="0.25">
      <c r="A18" s="1"/>
      <c r="B18" s="1"/>
      <c r="C18" s="6" t="s">
        <v>7</v>
      </c>
      <c r="D18" s="84" t="s">
        <v>97</v>
      </c>
      <c r="E18" s="85"/>
      <c r="F18" s="85"/>
      <c r="G18" s="86"/>
      <c r="H18" s="1"/>
      <c r="I18" s="1"/>
    </row>
    <row r="19" spans="1:9" x14ac:dyDescent="0.25">
      <c r="A19" s="1"/>
      <c r="B19" s="1"/>
      <c r="C19" s="6" t="s">
        <v>8</v>
      </c>
      <c r="D19" s="69" t="s">
        <v>101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9</v>
      </c>
      <c r="D20" s="72" t="s">
        <v>98</v>
      </c>
      <c r="E20" s="73"/>
      <c r="F20" s="73"/>
      <c r="G20" s="74"/>
      <c r="H20" s="1"/>
      <c r="I20" s="1"/>
    </row>
    <row r="21" spans="1:9" x14ac:dyDescent="0.25">
      <c r="A21" s="1"/>
      <c r="B21" s="1"/>
      <c r="C21" s="6" t="s">
        <v>10</v>
      </c>
      <c r="D21" s="72" t="s">
        <v>117</v>
      </c>
      <c r="E21" s="73"/>
      <c r="F21" s="73"/>
      <c r="G21" s="74"/>
      <c r="H21" s="1"/>
      <c r="I21" s="1"/>
    </row>
    <row r="22" spans="1:9" x14ac:dyDescent="0.25">
      <c r="A22" s="1"/>
      <c r="B22" s="1"/>
      <c r="C22" s="6" t="s">
        <v>11</v>
      </c>
      <c r="D22" s="72" t="s">
        <v>102</v>
      </c>
      <c r="E22" s="73"/>
      <c r="F22" s="73"/>
      <c r="G22" s="74"/>
      <c r="H22" s="1"/>
      <c r="I22" s="1"/>
    </row>
    <row r="23" spans="1:9" x14ac:dyDescent="0.25">
      <c r="A23" s="1"/>
      <c r="B23" s="1"/>
      <c r="C23" s="6" t="s">
        <v>12</v>
      </c>
      <c r="D23" s="75" t="s">
        <v>28</v>
      </c>
      <c r="E23" s="76"/>
      <c r="F23" s="76"/>
      <c r="G23" s="77"/>
      <c r="H23" s="1"/>
      <c r="I23" s="1"/>
    </row>
    <row r="24" spans="1:9" x14ac:dyDescent="0.25">
      <c r="A24" s="1"/>
      <c r="B24" s="1"/>
      <c r="C24" s="6" t="s">
        <v>26</v>
      </c>
      <c r="D24" s="66" t="s">
        <v>99</v>
      </c>
      <c r="E24" s="67"/>
      <c r="F24" s="67"/>
      <c r="G24" s="68"/>
      <c r="H24" s="1"/>
      <c r="I24" s="1"/>
    </row>
    <row r="25" spans="1:9" x14ac:dyDescent="0.25">
      <c r="A25" s="1"/>
      <c r="B25" s="1"/>
      <c r="C25" s="6" t="s">
        <v>29</v>
      </c>
      <c r="D25" s="66" t="s">
        <v>54</v>
      </c>
      <c r="E25" s="67"/>
      <c r="F25" s="67"/>
      <c r="G25" s="68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  <mergeCell ref="D24:G24"/>
    <mergeCell ref="D25:G25"/>
    <mergeCell ref="D19:G19"/>
    <mergeCell ref="D21:G21"/>
    <mergeCell ref="D22:G22"/>
    <mergeCell ref="D23:G2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121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112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6" t="s">
        <v>103</v>
      </c>
      <c r="C9" s="97"/>
      <c r="D9" s="98"/>
      <c r="E9" s="11">
        <v>134076625.61302905</v>
      </c>
      <c r="F9" s="22" t="s">
        <v>2</v>
      </c>
      <c r="G9" s="19"/>
      <c r="H9" s="27"/>
      <c r="I9" s="1"/>
    </row>
    <row r="10" spans="1:9" x14ac:dyDescent="0.25">
      <c r="A10" s="1"/>
      <c r="B10" s="96" t="s">
        <v>104</v>
      </c>
      <c r="C10" s="97"/>
      <c r="D10" s="98"/>
      <c r="E10" s="11">
        <v>133993000</v>
      </c>
      <c r="F10" s="22" t="s">
        <v>2</v>
      </c>
      <c r="G10" s="14"/>
      <c r="H10" s="28"/>
      <c r="I10" s="1"/>
    </row>
    <row r="11" spans="1:9" x14ac:dyDescent="0.25">
      <c r="A11" s="1"/>
      <c r="B11" s="96" t="s">
        <v>110</v>
      </c>
      <c r="C11" s="97"/>
      <c r="D11" s="98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105</v>
      </c>
      <c r="C12" s="48"/>
      <c r="D12" s="49"/>
      <c r="E12" s="17">
        <f>E9-(E10-E11)</f>
        <v>83625.613029047847</v>
      </c>
      <c r="F12" s="25" t="s">
        <v>2</v>
      </c>
      <c r="G12" s="17">
        <f>E12</f>
        <v>83625.613029047847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9" t="s">
        <v>136</v>
      </c>
      <c r="C17" s="90"/>
      <c r="D17" s="90"/>
      <c r="E17" s="90"/>
      <c r="F17" s="90"/>
      <c r="G17" s="90"/>
      <c r="H17" s="91"/>
      <c r="I17" s="1"/>
    </row>
    <row r="18" spans="1:9" x14ac:dyDescent="0.25">
      <c r="A18" s="1"/>
      <c r="B18" s="99" t="s">
        <v>113</v>
      </c>
      <c r="C18" s="100"/>
      <c r="D18" s="101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99" t="s">
        <v>111</v>
      </c>
      <c r="C19" s="100"/>
      <c r="D19" s="101"/>
      <c r="E19" s="11">
        <v>4</v>
      </c>
      <c r="F19" s="22" t="s">
        <v>38</v>
      </c>
      <c r="G19" s="14"/>
      <c r="H19" s="28"/>
      <c r="I19" s="1"/>
    </row>
    <row r="20" spans="1:9" x14ac:dyDescent="0.25">
      <c r="A20" s="1"/>
      <c r="B20" s="99" t="s">
        <v>114</v>
      </c>
      <c r="C20" s="100"/>
      <c r="D20" s="101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89" t="s">
        <v>137</v>
      </c>
      <c r="C21" s="90"/>
      <c r="D21" s="90"/>
      <c r="E21" s="90"/>
      <c r="F21" s="91"/>
      <c r="G21" s="20">
        <f>E20</f>
        <v>0</v>
      </c>
      <c r="H21" s="21" t="s">
        <v>2</v>
      </c>
      <c r="I21" s="1"/>
    </row>
    <row r="22" spans="1:9" x14ac:dyDescent="0.25">
      <c r="A22" s="1"/>
      <c r="B22" s="89" t="s">
        <v>138</v>
      </c>
      <c r="C22" s="90"/>
      <c r="D22" s="90"/>
      <c r="E22" s="90"/>
      <c r="F22" s="91"/>
      <c r="G22" s="20">
        <f>G21*(1+Prisudvikling2019)^5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3:H4"/>
    <mergeCell ref="B8:H8"/>
    <mergeCell ref="B17:H17"/>
    <mergeCell ref="B9:D9"/>
    <mergeCell ref="B10:D10"/>
    <mergeCell ref="B11:D11"/>
    <mergeCell ref="B18:D18"/>
    <mergeCell ref="B19:D19"/>
    <mergeCell ref="B20:D20"/>
    <mergeCell ref="B21:F21"/>
    <mergeCell ref="B22:F22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149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125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122</v>
      </c>
      <c r="C8" s="90"/>
      <c r="D8" s="90"/>
      <c r="E8" s="90"/>
      <c r="F8" s="90"/>
      <c r="G8" s="90"/>
      <c r="H8" s="91"/>
      <c r="I8" s="1"/>
    </row>
    <row r="9" spans="1:9" ht="39" customHeight="1" x14ac:dyDescent="0.25">
      <c r="A9" s="1"/>
      <c r="B9" s="38" t="s">
        <v>87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88</v>
      </c>
      <c r="H9" s="37"/>
      <c r="I9" s="1"/>
    </row>
    <row r="10" spans="1:9" x14ac:dyDescent="0.25">
      <c r="A10" s="1"/>
      <c r="B10" s="63" t="s">
        <v>146</v>
      </c>
      <c r="C10" s="64" t="s">
        <v>164</v>
      </c>
      <c r="D10" s="11">
        <v>1997000</v>
      </c>
      <c r="E10" s="11">
        <f>D10/C10</f>
        <v>26626.666666666668</v>
      </c>
      <c r="F10" s="11">
        <v>0</v>
      </c>
      <c r="G10" s="11">
        <v>0</v>
      </c>
      <c r="H10" s="22" t="s">
        <v>2</v>
      </c>
      <c r="I10" s="1"/>
    </row>
    <row r="11" spans="1:9" ht="26.25" x14ac:dyDescent="0.25">
      <c r="A11" s="1"/>
      <c r="B11" s="63" t="s">
        <v>147</v>
      </c>
      <c r="C11" s="64" t="s">
        <v>164</v>
      </c>
      <c r="D11" s="11">
        <v>537000</v>
      </c>
      <c r="E11" s="11">
        <f t="shared" ref="E11:E74" si="0">D11/C11</f>
        <v>7160</v>
      </c>
      <c r="F11" s="11">
        <v>0</v>
      </c>
      <c r="G11" s="11">
        <v>0</v>
      </c>
      <c r="H11" s="22" t="s">
        <v>2</v>
      </c>
      <c r="I11" s="1"/>
    </row>
    <row r="12" spans="1:9" ht="26.25" x14ac:dyDescent="0.25">
      <c r="A12" s="1"/>
      <c r="B12" s="63" t="s">
        <v>148</v>
      </c>
      <c r="C12" s="64" t="s">
        <v>164</v>
      </c>
      <c r="D12" s="11">
        <v>423000</v>
      </c>
      <c r="E12" s="11">
        <f t="shared" si="0"/>
        <v>5640</v>
      </c>
      <c r="F12" s="11">
        <v>0</v>
      </c>
      <c r="G12" s="11">
        <v>0</v>
      </c>
      <c r="H12" s="22" t="s">
        <v>2</v>
      </c>
      <c r="I12" s="1"/>
    </row>
    <row r="13" spans="1:9" x14ac:dyDescent="0.25">
      <c r="A13" s="1"/>
      <c r="B13" s="63" t="s">
        <v>149</v>
      </c>
      <c r="C13" s="64" t="s">
        <v>164</v>
      </c>
      <c r="D13" s="11">
        <v>1231000</v>
      </c>
      <c r="E13" s="11">
        <f t="shared" si="0"/>
        <v>16413.333333333332</v>
      </c>
      <c r="F13" s="11">
        <v>0</v>
      </c>
      <c r="G13" s="11">
        <v>0</v>
      </c>
      <c r="H13" s="22" t="s">
        <v>2</v>
      </c>
      <c r="I13" s="1"/>
    </row>
    <row r="14" spans="1:9" x14ac:dyDescent="0.25">
      <c r="A14" s="1"/>
      <c r="B14" s="63" t="s">
        <v>150</v>
      </c>
      <c r="C14" s="64" t="s">
        <v>164</v>
      </c>
      <c r="D14" s="11">
        <v>81000</v>
      </c>
      <c r="E14" s="11">
        <f t="shared" si="0"/>
        <v>1080</v>
      </c>
      <c r="F14" s="11">
        <v>0</v>
      </c>
      <c r="G14" s="11">
        <v>0</v>
      </c>
      <c r="H14" s="22" t="s">
        <v>2</v>
      </c>
      <c r="I14" s="1"/>
    </row>
    <row r="15" spans="1:9" x14ac:dyDescent="0.25">
      <c r="A15" s="1"/>
      <c r="B15" s="63" t="s">
        <v>151</v>
      </c>
      <c r="C15" s="64" t="s">
        <v>165</v>
      </c>
      <c r="D15" s="11">
        <v>485000</v>
      </c>
      <c r="E15" s="11">
        <f t="shared" si="0"/>
        <v>9700</v>
      </c>
      <c r="F15" s="11">
        <v>0</v>
      </c>
      <c r="G15" s="11">
        <v>0</v>
      </c>
      <c r="H15" s="22" t="s">
        <v>2</v>
      </c>
      <c r="I15" s="1"/>
    </row>
    <row r="16" spans="1:9" x14ac:dyDescent="0.25">
      <c r="A16" s="1"/>
      <c r="B16" s="63" t="s">
        <v>146</v>
      </c>
      <c r="C16" s="64" t="s">
        <v>164</v>
      </c>
      <c r="D16" s="11">
        <v>1926000</v>
      </c>
      <c r="E16" s="11">
        <f t="shared" si="0"/>
        <v>25680</v>
      </c>
      <c r="F16" s="11">
        <v>0</v>
      </c>
      <c r="G16" s="11">
        <v>0</v>
      </c>
      <c r="H16" s="22" t="s">
        <v>2</v>
      </c>
      <c r="I16" s="1"/>
    </row>
    <row r="17" spans="1:9" ht="26.25" x14ac:dyDescent="0.25">
      <c r="A17" s="1"/>
      <c r="B17" s="63" t="s">
        <v>147</v>
      </c>
      <c r="C17" s="64" t="s">
        <v>164</v>
      </c>
      <c r="D17" s="11">
        <v>183000</v>
      </c>
      <c r="E17" s="11">
        <f t="shared" si="0"/>
        <v>2440</v>
      </c>
      <c r="F17" s="11">
        <v>0</v>
      </c>
      <c r="G17" s="11">
        <v>0</v>
      </c>
      <c r="H17" s="22" t="s">
        <v>2</v>
      </c>
      <c r="I17" s="1"/>
    </row>
    <row r="18" spans="1:9" ht="26.25" x14ac:dyDescent="0.25">
      <c r="A18" s="1"/>
      <c r="B18" s="63" t="s">
        <v>152</v>
      </c>
      <c r="C18" s="64" t="s">
        <v>164</v>
      </c>
      <c r="D18" s="11">
        <v>21000</v>
      </c>
      <c r="E18" s="11">
        <f t="shared" si="0"/>
        <v>280</v>
      </c>
      <c r="F18" s="11">
        <v>0</v>
      </c>
      <c r="G18" s="11">
        <v>0</v>
      </c>
      <c r="H18" s="22" t="s">
        <v>2</v>
      </c>
      <c r="I18" s="1"/>
    </row>
    <row r="19" spans="1:9" ht="26.25" x14ac:dyDescent="0.25">
      <c r="A19" s="1"/>
      <c r="B19" s="63" t="s">
        <v>148</v>
      </c>
      <c r="C19" s="64" t="s">
        <v>164</v>
      </c>
      <c r="D19" s="11">
        <v>503000</v>
      </c>
      <c r="E19" s="11">
        <f t="shared" si="0"/>
        <v>6706.666666666667</v>
      </c>
      <c r="F19" s="11">
        <v>0</v>
      </c>
      <c r="G19" s="11">
        <v>0</v>
      </c>
      <c r="H19" s="22" t="s">
        <v>2</v>
      </c>
      <c r="I19" s="1"/>
    </row>
    <row r="20" spans="1:9" x14ac:dyDescent="0.25">
      <c r="A20" s="1"/>
      <c r="B20" s="63" t="s">
        <v>149</v>
      </c>
      <c r="C20" s="64" t="s">
        <v>164</v>
      </c>
      <c r="D20" s="11">
        <v>47000</v>
      </c>
      <c r="E20" s="11">
        <f t="shared" si="0"/>
        <v>626.66666666666663</v>
      </c>
      <c r="F20" s="11">
        <v>0</v>
      </c>
      <c r="G20" s="11">
        <v>0</v>
      </c>
      <c r="H20" s="22" t="s">
        <v>2</v>
      </c>
      <c r="I20" s="1"/>
    </row>
    <row r="21" spans="1:9" x14ac:dyDescent="0.25">
      <c r="A21" s="1"/>
      <c r="B21" s="63" t="s">
        <v>153</v>
      </c>
      <c r="C21" s="64" t="s">
        <v>164</v>
      </c>
      <c r="D21" s="11">
        <v>1073000</v>
      </c>
      <c r="E21" s="11">
        <f t="shared" si="0"/>
        <v>14306.666666666666</v>
      </c>
      <c r="F21" s="11">
        <v>0</v>
      </c>
      <c r="G21" s="11">
        <v>0</v>
      </c>
      <c r="H21" s="22" t="s">
        <v>2</v>
      </c>
      <c r="I21" s="1"/>
    </row>
    <row r="22" spans="1:9" ht="26.25" x14ac:dyDescent="0.25">
      <c r="A22" s="1"/>
      <c r="B22" s="63" t="s">
        <v>154</v>
      </c>
      <c r="C22" s="64" t="s">
        <v>166</v>
      </c>
      <c r="D22" s="11">
        <v>1183000</v>
      </c>
      <c r="E22" s="11">
        <f t="shared" si="0"/>
        <v>59150</v>
      </c>
      <c r="F22" s="11">
        <v>0</v>
      </c>
      <c r="G22" s="11">
        <v>0</v>
      </c>
      <c r="H22" s="22" t="s">
        <v>2</v>
      </c>
      <c r="I22" s="1"/>
    </row>
    <row r="23" spans="1:9" ht="26.25" x14ac:dyDescent="0.25">
      <c r="A23" s="1"/>
      <c r="B23" s="63" t="s">
        <v>155</v>
      </c>
      <c r="C23" s="64" t="s">
        <v>167</v>
      </c>
      <c r="D23" s="11">
        <v>298000</v>
      </c>
      <c r="E23" s="11">
        <f t="shared" si="0"/>
        <v>29800</v>
      </c>
      <c r="F23" s="11">
        <v>0</v>
      </c>
      <c r="G23" s="11">
        <v>0</v>
      </c>
      <c r="H23" s="22" t="s">
        <v>2</v>
      </c>
      <c r="I23" s="1"/>
    </row>
    <row r="24" spans="1:9" x14ac:dyDescent="0.25">
      <c r="A24" s="1"/>
      <c r="B24" s="63" t="s">
        <v>146</v>
      </c>
      <c r="C24" s="64" t="s">
        <v>164</v>
      </c>
      <c r="D24" s="11">
        <v>42000</v>
      </c>
      <c r="E24" s="11">
        <f t="shared" si="0"/>
        <v>560</v>
      </c>
      <c r="F24" s="11">
        <v>0</v>
      </c>
      <c r="G24" s="11">
        <v>0</v>
      </c>
      <c r="H24" s="22" t="s">
        <v>2</v>
      </c>
      <c r="I24" s="1"/>
    </row>
    <row r="25" spans="1:9" ht="26.25" x14ac:dyDescent="0.25">
      <c r="A25" s="1"/>
      <c r="B25" s="63" t="s">
        <v>147</v>
      </c>
      <c r="C25" s="64" t="s">
        <v>164</v>
      </c>
      <c r="D25" s="11">
        <v>1093000</v>
      </c>
      <c r="E25" s="11">
        <f t="shared" si="0"/>
        <v>14573.333333333334</v>
      </c>
      <c r="F25" s="11">
        <v>0</v>
      </c>
      <c r="G25" s="11">
        <v>0</v>
      </c>
      <c r="H25" s="22" t="s">
        <v>2</v>
      </c>
      <c r="I25" s="1"/>
    </row>
    <row r="26" spans="1:9" ht="26.25" x14ac:dyDescent="0.25">
      <c r="A26" s="1"/>
      <c r="B26" s="63" t="s">
        <v>152</v>
      </c>
      <c r="C26" s="64" t="s">
        <v>164</v>
      </c>
      <c r="D26" s="11">
        <v>1303000</v>
      </c>
      <c r="E26" s="11">
        <f t="shared" si="0"/>
        <v>17373.333333333332</v>
      </c>
      <c r="F26" s="11">
        <v>0</v>
      </c>
      <c r="G26" s="11">
        <v>0</v>
      </c>
      <c r="H26" s="22" t="s">
        <v>2</v>
      </c>
      <c r="I26" s="1"/>
    </row>
    <row r="27" spans="1:9" ht="26.25" x14ac:dyDescent="0.25">
      <c r="A27" s="1"/>
      <c r="B27" s="63" t="s">
        <v>156</v>
      </c>
      <c r="C27" s="64" t="s">
        <v>164</v>
      </c>
      <c r="D27" s="11">
        <v>3059000</v>
      </c>
      <c r="E27" s="11">
        <f t="shared" si="0"/>
        <v>40786.666666666664</v>
      </c>
      <c r="F27" s="11">
        <v>0</v>
      </c>
      <c r="G27" s="11">
        <v>0</v>
      </c>
      <c r="H27" s="22" t="s">
        <v>2</v>
      </c>
      <c r="I27" s="1"/>
    </row>
    <row r="28" spans="1:9" ht="26.25" x14ac:dyDescent="0.25">
      <c r="A28" s="1"/>
      <c r="B28" s="63" t="s">
        <v>148</v>
      </c>
      <c r="C28" s="64" t="s">
        <v>164</v>
      </c>
      <c r="D28" s="11">
        <v>1782000</v>
      </c>
      <c r="E28" s="11">
        <f t="shared" si="0"/>
        <v>23760</v>
      </c>
      <c r="F28" s="11">
        <v>0</v>
      </c>
      <c r="G28" s="11">
        <v>0</v>
      </c>
      <c r="H28" s="22" t="s">
        <v>2</v>
      </c>
      <c r="I28" s="1"/>
    </row>
    <row r="29" spans="1:9" ht="26.25" x14ac:dyDescent="0.25">
      <c r="A29" s="1"/>
      <c r="B29" s="63" t="s">
        <v>157</v>
      </c>
      <c r="C29" s="64" t="s">
        <v>165</v>
      </c>
      <c r="D29" s="11">
        <v>445000</v>
      </c>
      <c r="E29" s="11">
        <f t="shared" si="0"/>
        <v>8900</v>
      </c>
      <c r="F29" s="11">
        <v>0</v>
      </c>
      <c r="G29" s="11">
        <v>0</v>
      </c>
      <c r="H29" s="22" t="s">
        <v>2</v>
      </c>
      <c r="I29" s="1"/>
    </row>
    <row r="30" spans="1:9" x14ac:dyDescent="0.25">
      <c r="A30" s="1"/>
      <c r="B30" s="63" t="s">
        <v>149</v>
      </c>
      <c r="C30" s="64" t="s">
        <v>164</v>
      </c>
      <c r="D30" s="11">
        <v>681000</v>
      </c>
      <c r="E30" s="11">
        <f t="shared" si="0"/>
        <v>9080</v>
      </c>
      <c r="F30" s="11">
        <v>0</v>
      </c>
      <c r="G30" s="11">
        <v>0</v>
      </c>
      <c r="H30" s="22" t="s">
        <v>2</v>
      </c>
      <c r="I30" s="1"/>
    </row>
    <row r="31" spans="1:9" ht="26.25" x14ac:dyDescent="0.25">
      <c r="A31" s="1"/>
      <c r="B31" s="63" t="s">
        <v>157</v>
      </c>
      <c r="C31" s="64" t="s">
        <v>165</v>
      </c>
      <c r="D31" s="11">
        <v>13000</v>
      </c>
      <c r="E31" s="11">
        <f t="shared" si="0"/>
        <v>260</v>
      </c>
      <c r="F31" s="11">
        <v>0</v>
      </c>
      <c r="G31" s="11">
        <v>0</v>
      </c>
      <c r="H31" s="22" t="s">
        <v>2</v>
      </c>
      <c r="I31" s="1"/>
    </row>
    <row r="32" spans="1:9" x14ac:dyDescent="0.25">
      <c r="A32" s="1"/>
      <c r="B32" s="63" t="s">
        <v>150</v>
      </c>
      <c r="C32" s="64" t="s">
        <v>164</v>
      </c>
      <c r="D32" s="11">
        <v>8000</v>
      </c>
      <c r="E32" s="11">
        <f t="shared" si="0"/>
        <v>106.66666666666667</v>
      </c>
      <c r="F32" s="11">
        <v>0</v>
      </c>
      <c r="G32" s="11">
        <v>0</v>
      </c>
      <c r="H32" s="22" t="s">
        <v>2</v>
      </c>
      <c r="I32" s="1"/>
    </row>
    <row r="33" spans="1:9" x14ac:dyDescent="0.25">
      <c r="A33" s="1"/>
      <c r="B33" s="63" t="s">
        <v>146</v>
      </c>
      <c r="C33" s="64" t="s">
        <v>164</v>
      </c>
      <c r="D33" s="11">
        <v>44000</v>
      </c>
      <c r="E33" s="11">
        <f t="shared" si="0"/>
        <v>586.66666666666663</v>
      </c>
      <c r="F33" s="11">
        <v>0</v>
      </c>
      <c r="G33" s="11">
        <v>0</v>
      </c>
      <c r="H33" s="22" t="s">
        <v>2</v>
      </c>
      <c r="I33" s="1"/>
    </row>
    <row r="34" spans="1:9" ht="26.25" x14ac:dyDescent="0.25">
      <c r="A34" s="1"/>
      <c r="B34" s="63" t="s">
        <v>147</v>
      </c>
      <c r="C34" s="64" t="s">
        <v>164</v>
      </c>
      <c r="D34" s="11">
        <v>187000</v>
      </c>
      <c r="E34" s="11">
        <f t="shared" si="0"/>
        <v>2493.3333333333335</v>
      </c>
      <c r="F34" s="11">
        <v>0</v>
      </c>
      <c r="G34" s="11">
        <v>0</v>
      </c>
      <c r="H34" s="22" t="s">
        <v>2</v>
      </c>
      <c r="I34" s="1"/>
    </row>
    <row r="35" spans="1:9" ht="26.25" x14ac:dyDescent="0.25">
      <c r="A35" s="1"/>
      <c r="B35" s="63" t="s">
        <v>152</v>
      </c>
      <c r="C35" s="64" t="s">
        <v>164</v>
      </c>
      <c r="D35" s="11">
        <v>92000</v>
      </c>
      <c r="E35" s="11">
        <f t="shared" si="0"/>
        <v>1226.6666666666667</v>
      </c>
      <c r="F35" s="11">
        <v>0</v>
      </c>
      <c r="G35" s="11">
        <v>0</v>
      </c>
      <c r="H35" s="22" t="s">
        <v>2</v>
      </c>
      <c r="I35" s="1"/>
    </row>
    <row r="36" spans="1:9" ht="26.25" x14ac:dyDescent="0.25">
      <c r="A36" s="1"/>
      <c r="B36" s="63" t="s">
        <v>158</v>
      </c>
      <c r="C36" s="64" t="s">
        <v>164</v>
      </c>
      <c r="D36" s="11">
        <v>102000</v>
      </c>
      <c r="E36" s="11">
        <f t="shared" si="0"/>
        <v>1360</v>
      </c>
      <c r="F36" s="11">
        <v>0</v>
      </c>
      <c r="G36" s="11">
        <v>0</v>
      </c>
      <c r="H36" s="22" t="s">
        <v>2</v>
      </c>
      <c r="I36" s="1"/>
    </row>
    <row r="37" spans="1:9" ht="26.25" x14ac:dyDescent="0.25">
      <c r="A37" s="1"/>
      <c r="B37" s="63" t="s">
        <v>156</v>
      </c>
      <c r="C37" s="64" t="s">
        <v>164</v>
      </c>
      <c r="D37" s="11">
        <v>33000</v>
      </c>
      <c r="E37" s="11">
        <f t="shared" si="0"/>
        <v>440</v>
      </c>
      <c r="F37" s="11">
        <v>0</v>
      </c>
      <c r="G37" s="11">
        <v>0</v>
      </c>
      <c r="H37" s="22" t="s">
        <v>2</v>
      </c>
      <c r="I37" s="1"/>
    </row>
    <row r="38" spans="1:9" x14ac:dyDescent="0.25">
      <c r="A38" s="1"/>
      <c r="B38" s="63" t="s">
        <v>149</v>
      </c>
      <c r="C38" s="64" t="s">
        <v>164</v>
      </c>
      <c r="D38" s="11">
        <v>98000</v>
      </c>
      <c r="E38" s="11">
        <f t="shared" si="0"/>
        <v>1306.6666666666667</v>
      </c>
      <c r="F38" s="11">
        <v>0</v>
      </c>
      <c r="G38" s="11">
        <v>0</v>
      </c>
      <c r="H38" s="22" t="s">
        <v>2</v>
      </c>
      <c r="I38" s="1"/>
    </row>
    <row r="39" spans="1:9" x14ac:dyDescent="0.25">
      <c r="A39" s="1"/>
      <c r="B39" s="63" t="s">
        <v>150</v>
      </c>
      <c r="C39" s="64" t="s">
        <v>164</v>
      </c>
      <c r="D39" s="11">
        <v>203000</v>
      </c>
      <c r="E39" s="11">
        <f t="shared" si="0"/>
        <v>2706.6666666666665</v>
      </c>
      <c r="F39" s="11">
        <v>0</v>
      </c>
      <c r="G39" s="11">
        <v>0</v>
      </c>
      <c r="H39" s="22" t="s">
        <v>2</v>
      </c>
      <c r="I39" s="1"/>
    </row>
    <row r="40" spans="1:9" x14ac:dyDescent="0.25">
      <c r="A40" s="1"/>
      <c r="B40" s="63" t="s">
        <v>146</v>
      </c>
      <c r="C40" s="64" t="s">
        <v>164</v>
      </c>
      <c r="D40" s="11">
        <v>433000</v>
      </c>
      <c r="E40" s="11">
        <f t="shared" si="0"/>
        <v>5773.333333333333</v>
      </c>
      <c r="F40" s="11">
        <v>0</v>
      </c>
      <c r="G40" s="11">
        <v>0</v>
      </c>
      <c r="H40" s="22" t="s">
        <v>2</v>
      </c>
      <c r="I40" s="1"/>
    </row>
    <row r="41" spans="1:9" ht="26.25" x14ac:dyDescent="0.25">
      <c r="A41" s="1"/>
      <c r="B41" s="63" t="s">
        <v>147</v>
      </c>
      <c r="C41" s="64" t="s">
        <v>164</v>
      </c>
      <c r="D41" s="11">
        <v>6107000</v>
      </c>
      <c r="E41" s="11">
        <f t="shared" si="0"/>
        <v>81426.666666666672</v>
      </c>
      <c r="F41" s="11">
        <v>0</v>
      </c>
      <c r="G41" s="11">
        <v>0</v>
      </c>
      <c r="H41" s="22" t="s">
        <v>2</v>
      </c>
      <c r="I41" s="1"/>
    </row>
    <row r="42" spans="1:9" ht="26.25" x14ac:dyDescent="0.25">
      <c r="A42" s="1"/>
      <c r="B42" s="63" t="s">
        <v>152</v>
      </c>
      <c r="C42" s="64" t="s">
        <v>164</v>
      </c>
      <c r="D42" s="11">
        <v>2439000</v>
      </c>
      <c r="E42" s="11">
        <f t="shared" si="0"/>
        <v>32520</v>
      </c>
      <c r="F42" s="11">
        <v>0</v>
      </c>
      <c r="G42" s="11">
        <v>0</v>
      </c>
      <c r="H42" s="22" t="s">
        <v>2</v>
      </c>
      <c r="I42" s="1"/>
    </row>
    <row r="43" spans="1:9" x14ac:dyDescent="0.25">
      <c r="A43" s="1"/>
      <c r="B43" s="63" t="s">
        <v>159</v>
      </c>
      <c r="C43" s="64" t="s">
        <v>165</v>
      </c>
      <c r="D43" s="11">
        <v>190000</v>
      </c>
      <c r="E43" s="11">
        <f t="shared" si="0"/>
        <v>3800</v>
      </c>
      <c r="F43" s="11">
        <v>0</v>
      </c>
      <c r="G43" s="11">
        <v>0</v>
      </c>
      <c r="H43" s="22" t="s">
        <v>2</v>
      </c>
      <c r="I43" s="1"/>
    </row>
    <row r="44" spans="1:9" ht="26.25" x14ac:dyDescent="0.25">
      <c r="A44" s="1"/>
      <c r="B44" s="63" t="s">
        <v>147</v>
      </c>
      <c r="C44" s="64" t="s">
        <v>164</v>
      </c>
      <c r="D44" s="11">
        <v>104000</v>
      </c>
      <c r="E44" s="11">
        <f t="shared" si="0"/>
        <v>1386.6666666666667</v>
      </c>
      <c r="F44" s="11">
        <v>0</v>
      </c>
      <c r="G44" s="11">
        <v>0</v>
      </c>
      <c r="H44" s="22" t="s">
        <v>2</v>
      </c>
      <c r="I44" s="1"/>
    </row>
    <row r="45" spans="1:9" x14ac:dyDescent="0.25">
      <c r="A45" s="1"/>
      <c r="B45" s="63" t="s">
        <v>149</v>
      </c>
      <c r="C45" s="64" t="s">
        <v>164</v>
      </c>
      <c r="D45" s="11">
        <v>4827000</v>
      </c>
      <c r="E45" s="11">
        <f t="shared" si="0"/>
        <v>64360</v>
      </c>
      <c r="F45" s="11">
        <v>0</v>
      </c>
      <c r="G45" s="11">
        <v>0</v>
      </c>
      <c r="H45" s="22" t="s">
        <v>2</v>
      </c>
      <c r="I45" s="1"/>
    </row>
    <row r="46" spans="1:9" x14ac:dyDescent="0.25">
      <c r="A46" s="1"/>
      <c r="B46" s="63" t="s">
        <v>150</v>
      </c>
      <c r="C46" s="64" t="s">
        <v>164</v>
      </c>
      <c r="D46" s="11">
        <v>3201000</v>
      </c>
      <c r="E46" s="11">
        <f t="shared" si="0"/>
        <v>42680</v>
      </c>
      <c r="F46" s="11">
        <v>0</v>
      </c>
      <c r="G46" s="11">
        <v>0</v>
      </c>
      <c r="H46" s="22" t="s">
        <v>2</v>
      </c>
      <c r="I46" s="1"/>
    </row>
    <row r="47" spans="1:9" ht="26.25" x14ac:dyDescent="0.25">
      <c r="A47" s="1"/>
      <c r="B47" s="63" t="s">
        <v>147</v>
      </c>
      <c r="C47" s="64" t="s">
        <v>164</v>
      </c>
      <c r="D47" s="11">
        <v>572000</v>
      </c>
      <c r="E47" s="11">
        <f t="shared" si="0"/>
        <v>7626.666666666667</v>
      </c>
      <c r="F47" s="11">
        <v>0</v>
      </c>
      <c r="G47" s="11">
        <v>0</v>
      </c>
      <c r="H47" s="22" t="s">
        <v>2</v>
      </c>
      <c r="I47" s="1"/>
    </row>
    <row r="48" spans="1:9" x14ac:dyDescent="0.25">
      <c r="A48" s="1"/>
      <c r="B48" s="63" t="s">
        <v>149</v>
      </c>
      <c r="C48" s="64" t="s">
        <v>164</v>
      </c>
      <c r="D48" s="11">
        <v>89000</v>
      </c>
      <c r="E48" s="11">
        <f t="shared" si="0"/>
        <v>1186.6666666666667</v>
      </c>
      <c r="F48" s="11">
        <v>0</v>
      </c>
      <c r="G48" s="11">
        <v>0</v>
      </c>
      <c r="H48" s="22" t="s">
        <v>2</v>
      </c>
      <c r="I48" s="1"/>
    </row>
    <row r="49" spans="1:9" x14ac:dyDescent="0.25">
      <c r="A49" s="1"/>
      <c r="B49" s="63" t="s">
        <v>150</v>
      </c>
      <c r="C49" s="64" t="s">
        <v>164</v>
      </c>
      <c r="D49" s="11">
        <v>27000</v>
      </c>
      <c r="E49" s="11">
        <f t="shared" si="0"/>
        <v>360</v>
      </c>
      <c r="F49" s="11">
        <v>0</v>
      </c>
      <c r="G49" s="11">
        <v>0</v>
      </c>
      <c r="H49" s="22" t="s">
        <v>2</v>
      </c>
      <c r="I49" s="1"/>
    </row>
    <row r="50" spans="1:9" x14ac:dyDescent="0.25">
      <c r="A50" s="1"/>
      <c r="B50" s="63" t="s">
        <v>146</v>
      </c>
      <c r="C50" s="64" t="s">
        <v>164</v>
      </c>
      <c r="D50" s="11">
        <v>791000</v>
      </c>
      <c r="E50" s="11">
        <f t="shared" si="0"/>
        <v>10546.666666666666</v>
      </c>
      <c r="F50" s="11">
        <v>0</v>
      </c>
      <c r="G50" s="11">
        <v>0</v>
      </c>
      <c r="H50" s="22" t="s">
        <v>2</v>
      </c>
      <c r="I50" s="1"/>
    </row>
    <row r="51" spans="1:9" x14ac:dyDescent="0.25">
      <c r="A51" s="1"/>
      <c r="B51" s="63" t="s">
        <v>149</v>
      </c>
      <c r="C51" s="64" t="s">
        <v>164</v>
      </c>
      <c r="D51" s="11">
        <v>125000</v>
      </c>
      <c r="E51" s="11">
        <f t="shared" si="0"/>
        <v>1666.6666666666667</v>
      </c>
      <c r="F51" s="11">
        <v>0</v>
      </c>
      <c r="G51" s="11">
        <v>0</v>
      </c>
      <c r="H51" s="22" t="s">
        <v>2</v>
      </c>
      <c r="I51" s="1"/>
    </row>
    <row r="52" spans="1:9" ht="26.25" x14ac:dyDescent="0.25">
      <c r="A52" s="1"/>
      <c r="B52" s="63" t="s">
        <v>160</v>
      </c>
      <c r="C52" s="64" t="s">
        <v>165</v>
      </c>
      <c r="D52" s="11">
        <v>1099000</v>
      </c>
      <c r="E52" s="11">
        <f t="shared" si="0"/>
        <v>21980</v>
      </c>
      <c r="F52" s="11">
        <v>0</v>
      </c>
      <c r="G52" s="11">
        <v>0</v>
      </c>
      <c r="H52" s="22" t="s">
        <v>2</v>
      </c>
      <c r="I52" s="1"/>
    </row>
    <row r="53" spans="1:9" ht="26.25" x14ac:dyDescent="0.25">
      <c r="A53" s="1"/>
      <c r="B53" s="63" t="s">
        <v>161</v>
      </c>
      <c r="C53" s="64" t="s">
        <v>166</v>
      </c>
      <c r="D53" s="11">
        <v>397000</v>
      </c>
      <c r="E53" s="11">
        <f t="shared" si="0"/>
        <v>19850</v>
      </c>
      <c r="F53" s="11">
        <v>0</v>
      </c>
      <c r="G53" s="11">
        <v>0</v>
      </c>
      <c r="H53" s="22" t="s">
        <v>2</v>
      </c>
      <c r="I53" s="1"/>
    </row>
    <row r="54" spans="1:9" ht="26.25" x14ac:dyDescent="0.25">
      <c r="A54" s="1"/>
      <c r="B54" s="63" t="s">
        <v>162</v>
      </c>
      <c r="C54" s="64" t="s">
        <v>167</v>
      </c>
      <c r="D54" s="11">
        <v>98000</v>
      </c>
      <c r="E54" s="11">
        <f t="shared" si="0"/>
        <v>9800</v>
      </c>
      <c r="F54" s="11">
        <v>0</v>
      </c>
      <c r="G54" s="11">
        <v>0</v>
      </c>
      <c r="H54" s="22" t="s">
        <v>2</v>
      </c>
      <c r="I54" s="1"/>
    </row>
    <row r="55" spans="1:9" x14ac:dyDescent="0.25">
      <c r="A55" s="1"/>
      <c r="B55" s="63" t="s">
        <v>146</v>
      </c>
      <c r="C55" s="64" t="s">
        <v>164</v>
      </c>
      <c r="D55" s="11">
        <v>1020000</v>
      </c>
      <c r="E55" s="11">
        <f t="shared" si="0"/>
        <v>13600</v>
      </c>
      <c r="F55" s="11">
        <v>0</v>
      </c>
      <c r="G55" s="11">
        <v>0</v>
      </c>
      <c r="H55" s="22" t="s">
        <v>2</v>
      </c>
      <c r="I55" s="1"/>
    </row>
    <row r="56" spans="1:9" ht="26.25" x14ac:dyDescent="0.25">
      <c r="A56" s="1"/>
      <c r="B56" s="63" t="s">
        <v>147</v>
      </c>
      <c r="C56" s="64" t="s">
        <v>164</v>
      </c>
      <c r="D56" s="11">
        <v>1965000</v>
      </c>
      <c r="E56" s="11">
        <f t="shared" si="0"/>
        <v>26200</v>
      </c>
      <c r="F56" s="11">
        <v>0</v>
      </c>
      <c r="G56" s="11">
        <v>0</v>
      </c>
      <c r="H56" s="22" t="s">
        <v>2</v>
      </c>
      <c r="I56" s="1"/>
    </row>
    <row r="57" spans="1:9" ht="26.25" x14ac:dyDescent="0.25">
      <c r="A57" s="1"/>
      <c r="B57" s="63" t="s">
        <v>152</v>
      </c>
      <c r="C57" s="64" t="s">
        <v>164</v>
      </c>
      <c r="D57" s="11">
        <v>750000</v>
      </c>
      <c r="E57" s="11">
        <f t="shared" si="0"/>
        <v>10000</v>
      </c>
      <c r="F57" s="11">
        <v>0</v>
      </c>
      <c r="G57" s="11">
        <v>0</v>
      </c>
      <c r="H57" s="22" t="s">
        <v>2</v>
      </c>
      <c r="I57" s="1"/>
    </row>
    <row r="58" spans="1:9" ht="26.25" x14ac:dyDescent="0.25">
      <c r="A58" s="1"/>
      <c r="B58" s="63" t="s">
        <v>148</v>
      </c>
      <c r="C58" s="64" t="s">
        <v>164</v>
      </c>
      <c r="D58" s="11">
        <v>1537000</v>
      </c>
      <c r="E58" s="11">
        <f t="shared" si="0"/>
        <v>20493.333333333332</v>
      </c>
      <c r="F58" s="11">
        <v>0</v>
      </c>
      <c r="G58" s="11">
        <v>0</v>
      </c>
      <c r="H58" s="22" t="s">
        <v>2</v>
      </c>
      <c r="I58" s="1"/>
    </row>
    <row r="59" spans="1:9" x14ac:dyDescent="0.25">
      <c r="A59" s="1"/>
      <c r="B59" s="63" t="s">
        <v>149</v>
      </c>
      <c r="C59" s="64" t="s">
        <v>164</v>
      </c>
      <c r="D59" s="11">
        <v>323000</v>
      </c>
      <c r="E59" s="11">
        <f t="shared" si="0"/>
        <v>4306.666666666667</v>
      </c>
      <c r="F59" s="11">
        <v>0</v>
      </c>
      <c r="G59" s="11">
        <v>0</v>
      </c>
      <c r="H59" s="22" t="s">
        <v>2</v>
      </c>
      <c r="I59" s="1"/>
    </row>
    <row r="60" spans="1:9" x14ac:dyDescent="0.25">
      <c r="A60" s="1"/>
      <c r="B60" s="63" t="s">
        <v>150</v>
      </c>
      <c r="C60" s="64" t="s">
        <v>164</v>
      </c>
      <c r="D60" s="11">
        <v>293000</v>
      </c>
      <c r="E60" s="11">
        <f t="shared" si="0"/>
        <v>3906.6666666666665</v>
      </c>
      <c r="F60" s="11">
        <v>0</v>
      </c>
      <c r="G60" s="11">
        <v>0</v>
      </c>
      <c r="H60" s="22" t="s">
        <v>2</v>
      </c>
      <c r="I60" s="1"/>
    </row>
    <row r="61" spans="1:9" ht="26.25" x14ac:dyDescent="0.25">
      <c r="A61" s="1"/>
      <c r="B61" s="63" t="s">
        <v>160</v>
      </c>
      <c r="C61" s="64" t="s">
        <v>165</v>
      </c>
      <c r="D61" s="11">
        <v>772000</v>
      </c>
      <c r="E61" s="11">
        <f t="shared" si="0"/>
        <v>15440</v>
      </c>
      <c r="F61" s="11">
        <v>0</v>
      </c>
      <c r="G61" s="11">
        <v>0</v>
      </c>
      <c r="H61" s="22" t="s">
        <v>2</v>
      </c>
      <c r="I61" s="1"/>
    </row>
    <row r="62" spans="1:9" ht="26.25" x14ac:dyDescent="0.25">
      <c r="A62" s="1"/>
      <c r="B62" s="63" t="s">
        <v>161</v>
      </c>
      <c r="C62" s="64" t="s">
        <v>166</v>
      </c>
      <c r="D62" s="11">
        <v>675000</v>
      </c>
      <c r="E62" s="11">
        <f t="shared" si="0"/>
        <v>33750</v>
      </c>
      <c r="F62" s="11">
        <v>0</v>
      </c>
      <c r="G62" s="11">
        <v>0</v>
      </c>
      <c r="H62" s="22" t="s">
        <v>2</v>
      </c>
      <c r="I62" s="1"/>
    </row>
    <row r="63" spans="1:9" ht="26.25" x14ac:dyDescent="0.25">
      <c r="A63" s="1"/>
      <c r="B63" s="63" t="s">
        <v>162</v>
      </c>
      <c r="C63" s="64" t="s">
        <v>167</v>
      </c>
      <c r="D63" s="11">
        <v>165000</v>
      </c>
      <c r="E63" s="11">
        <f t="shared" si="0"/>
        <v>16500</v>
      </c>
      <c r="F63" s="11">
        <v>0</v>
      </c>
      <c r="G63" s="11">
        <v>0</v>
      </c>
      <c r="H63" s="22" t="s">
        <v>2</v>
      </c>
      <c r="I63" s="1"/>
    </row>
    <row r="64" spans="1:9" ht="26.25" x14ac:dyDescent="0.25">
      <c r="A64" s="1"/>
      <c r="B64" s="63" t="s">
        <v>147</v>
      </c>
      <c r="C64" s="64" t="s">
        <v>164</v>
      </c>
      <c r="D64" s="11">
        <v>32000</v>
      </c>
      <c r="E64" s="11">
        <f t="shared" si="0"/>
        <v>426.66666666666669</v>
      </c>
      <c r="F64" s="11">
        <v>0</v>
      </c>
      <c r="G64" s="11">
        <v>0</v>
      </c>
      <c r="H64" s="22" t="s">
        <v>2</v>
      </c>
      <c r="I64" s="1"/>
    </row>
    <row r="65" spans="1:9" ht="26.25" x14ac:dyDescent="0.25">
      <c r="A65" s="1"/>
      <c r="B65" s="63" t="s">
        <v>156</v>
      </c>
      <c r="C65" s="64" t="s">
        <v>164</v>
      </c>
      <c r="D65" s="11">
        <v>815000</v>
      </c>
      <c r="E65" s="11">
        <f t="shared" si="0"/>
        <v>10866.666666666666</v>
      </c>
      <c r="F65" s="11">
        <v>0</v>
      </c>
      <c r="G65" s="11">
        <v>0</v>
      </c>
      <c r="H65" s="22" t="s">
        <v>2</v>
      </c>
      <c r="I65" s="1"/>
    </row>
    <row r="66" spans="1:9" x14ac:dyDescent="0.25">
      <c r="A66" s="1"/>
      <c r="B66" s="63" t="s">
        <v>149</v>
      </c>
      <c r="C66" s="64" t="s">
        <v>164</v>
      </c>
      <c r="D66" s="11">
        <v>187000</v>
      </c>
      <c r="E66" s="11">
        <f t="shared" si="0"/>
        <v>2493.3333333333335</v>
      </c>
      <c r="F66" s="11">
        <v>0</v>
      </c>
      <c r="G66" s="11">
        <v>0</v>
      </c>
      <c r="H66" s="22" t="s">
        <v>2</v>
      </c>
      <c r="I66" s="1"/>
    </row>
    <row r="67" spans="1:9" x14ac:dyDescent="0.25">
      <c r="A67" s="1"/>
      <c r="B67" s="63" t="s">
        <v>146</v>
      </c>
      <c r="C67" s="64" t="s">
        <v>164</v>
      </c>
      <c r="D67" s="11">
        <v>519000</v>
      </c>
      <c r="E67" s="11">
        <f t="shared" si="0"/>
        <v>6920</v>
      </c>
      <c r="F67" s="11">
        <v>0</v>
      </c>
      <c r="G67" s="11">
        <v>0</v>
      </c>
      <c r="H67" s="22" t="s">
        <v>2</v>
      </c>
      <c r="I67" s="1"/>
    </row>
    <row r="68" spans="1:9" ht="26.25" x14ac:dyDescent="0.25">
      <c r="A68" s="1"/>
      <c r="B68" s="63" t="s">
        <v>147</v>
      </c>
      <c r="C68" s="64" t="s">
        <v>164</v>
      </c>
      <c r="D68" s="11">
        <v>1437000</v>
      </c>
      <c r="E68" s="11">
        <f t="shared" si="0"/>
        <v>19160</v>
      </c>
      <c r="F68" s="11">
        <v>0</v>
      </c>
      <c r="G68" s="11">
        <v>0</v>
      </c>
      <c r="H68" s="22" t="s">
        <v>2</v>
      </c>
      <c r="I68" s="1"/>
    </row>
    <row r="69" spans="1:9" x14ac:dyDescent="0.25">
      <c r="A69" s="1"/>
      <c r="B69" s="63" t="s">
        <v>149</v>
      </c>
      <c r="C69" s="64" t="s">
        <v>164</v>
      </c>
      <c r="D69" s="11">
        <v>402000</v>
      </c>
      <c r="E69" s="11">
        <f t="shared" si="0"/>
        <v>5360</v>
      </c>
      <c r="F69" s="11">
        <v>0</v>
      </c>
      <c r="G69" s="11">
        <v>0</v>
      </c>
      <c r="H69" s="22" t="s">
        <v>2</v>
      </c>
      <c r="I69" s="1"/>
    </row>
    <row r="70" spans="1:9" x14ac:dyDescent="0.25">
      <c r="A70" s="1"/>
      <c r="B70" s="63" t="s">
        <v>150</v>
      </c>
      <c r="C70" s="64" t="s">
        <v>164</v>
      </c>
      <c r="D70" s="11">
        <v>1079000</v>
      </c>
      <c r="E70" s="11">
        <f t="shared" si="0"/>
        <v>14386.666666666666</v>
      </c>
      <c r="F70" s="11">
        <v>0</v>
      </c>
      <c r="G70" s="11">
        <v>0</v>
      </c>
      <c r="H70" s="22" t="s">
        <v>2</v>
      </c>
      <c r="I70" s="1"/>
    </row>
    <row r="71" spans="1:9" ht="26.25" x14ac:dyDescent="0.25">
      <c r="A71" s="1"/>
      <c r="B71" s="63" t="s">
        <v>160</v>
      </c>
      <c r="C71" s="64" t="s">
        <v>165</v>
      </c>
      <c r="D71" s="11">
        <v>305000</v>
      </c>
      <c r="E71" s="11">
        <f t="shared" si="0"/>
        <v>6100</v>
      </c>
      <c r="F71" s="11">
        <v>0</v>
      </c>
      <c r="G71" s="11">
        <v>0</v>
      </c>
      <c r="H71" s="22" t="s">
        <v>2</v>
      </c>
      <c r="I71" s="1"/>
    </row>
    <row r="72" spans="1:9" ht="26.25" x14ac:dyDescent="0.25">
      <c r="A72" s="1"/>
      <c r="B72" s="63" t="s">
        <v>161</v>
      </c>
      <c r="C72" s="64" t="s">
        <v>166</v>
      </c>
      <c r="D72" s="11">
        <v>713000</v>
      </c>
      <c r="E72" s="11">
        <f t="shared" si="0"/>
        <v>35650</v>
      </c>
      <c r="F72" s="11">
        <v>0</v>
      </c>
      <c r="G72" s="11">
        <v>0</v>
      </c>
      <c r="H72" s="22" t="s">
        <v>2</v>
      </c>
      <c r="I72" s="1"/>
    </row>
    <row r="73" spans="1:9" ht="26.25" x14ac:dyDescent="0.25">
      <c r="A73" s="1"/>
      <c r="B73" s="63" t="s">
        <v>162</v>
      </c>
      <c r="C73" s="64" t="s">
        <v>167</v>
      </c>
      <c r="D73" s="11">
        <v>113000</v>
      </c>
      <c r="E73" s="11">
        <f t="shared" si="0"/>
        <v>11300</v>
      </c>
      <c r="F73" s="11">
        <v>0</v>
      </c>
      <c r="G73" s="11">
        <v>0</v>
      </c>
      <c r="H73" s="22" t="s">
        <v>2</v>
      </c>
      <c r="I73" s="1"/>
    </row>
    <row r="74" spans="1:9" ht="26.25" x14ac:dyDescent="0.25">
      <c r="A74" s="1"/>
      <c r="B74" s="63" t="s">
        <v>160</v>
      </c>
      <c r="C74" s="64" t="s">
        <v>165</v>
      </c>
      <c r="D74" s="11">
        <v>159000</v>
      </c>
      <c r="E74" s="11">
        <f t="shared" si="0"/>
        <v>3180</v>
      </c>
      <c r="F74" s="11">
        <v>0</v>
      </c>
      <c r="G74" s="11">
        <v>0</v>
      </c>
      <c r="H74" s="22" t="s">
        <v>2</v>
      </c>
      <c r="I74" s="1"/>
    </row>
    <row r="75" spans="1:9" ht="26.25" x14ac:dyDescent="0.25">
      <c r="A75" s="1"/>
      <c r="B75" s="63" t="s">
        <v>161</v>
      </c>
      <c r="C75" s="64" t="s">
        <v>166</v>
      </c>
      <c r="D75" s="11">
        <v>84000</v>
      </c>
      <c r="E75" s="11">
        <f t="shared" ref="E75:E111" si="1">D75/C75</f>
        <v>4200</v>
      </c>
      <c r="F75" s="11">
        <v>0</v>
      </c>
      <c r="G75" s="11">
        <v>0</v>
      </c>
      <c r="H75" s="22" t="s">
        <v>2</v>
      </c>
      <c r="I75" s="1"/>
    </row>
    <row r="76" spans="1:9" ht="26.25" x14ac:dyDescent="0.25">
      <c r="A76" s="1"/>
      <c r="B76" s="63" t="s">
        <v>162</v>
      </c>
      <c r="C76" s="64" t="s">
        <v>167</v>
      </c>
      <c r="D76" s="11">
        <v>27000</v>
      </c>
      <c r="E76" s="11">
        <f t="shared" si="1"/>
        <v>2700</v>
      </c>
      <c r="F76" s="11">
        <v>0</v>
      </c>
      <c r="G76" s="11">
        <v>0</v>
      </c>
      <c r="H76" s="22" t="s">
        <v>2</v>
      </c>
      <c r="I76" s="1"/>
    </row>
    <row r="77" spans="1:9" x14ac:dyDescent="0.25">
      <c r="A77" s="1"/>
      <c r="B77" s="63" t="s">
        <v>146</v>
      </c>
      <c r="C77" s="64" t="s">
        <v>164</v>
      </c>
      <c r="D77" s="11">
        <v>11000</v>
      </c>
      <c r="E77" s="11">
        <f t="shared" si="1"/>
        <v>146.66666666666666</v>
      </c>
      <c r="F77" s="11">
        <v>0</v>
      </c>
      <c r="G77" s="11">
        <v>0</v>
      </c>
      <c r="H77" s="22" t="s">
        <v>2</v>
      </c>
      <c r="I77" s="1"/>
    </row>
    <row r="78" spans="1:9" ht="26.25" x14ac:dyDescent="0.25">
      <c r="A78" s="1"/>
      <c r="B78" s="63" t="s">
        <v>147</v>
      </c>
      <c r="C78" s="64" t="s">
        <v>164</v>
      </c>
      <c r="D78" s="11">
        <v>8000</v>
      </c>
      <c r="E78" s="11">
        <f t="shared" si="1"/>
        <v>106.66666666666667</v>
      </c>
      <c r="F78" s="11">
        <v>0</v>
      </c>
      <c r="G78" s="11">
        <v>0</v>
      </c>
      <c r="H78" s="22" t="s">
        <v>2</v>
      </c>
      <c r="I78" s="1"/>
    </row>
    <row r="79" spans="1:9" ht="26.25" x14ac:dyDescent="0.25">
      <c r="A79" s="1"/>
      <c r="B79" s="63" t="s">
        <v>152</v>
      </c>
      <c r="C79" s="64" t="s">
        <v>164</v>
      </c>
      <c r="D79" s="11">
        <v>9000</v>
      </c>
      <c r="E79" s="11">
        <f t="shared" si="1"/>
        <v>120</v>
      </c>
      <c r="F79" s="11">
        <v>0</v>
      </c>
      <c r="G79" s="11">
        <v>0</v>
      </c>
      <c r="H79" s="22" t="s">
        <v>2</v>
      </c>
      <c r="I79" s="1"/>
    </row>
    <row r="80" spans="1:9" ht="26.25" x14ac:dyDescent="0.25">
      <c r="A80" s="1"/>
      <c r="B80" s="63" t="s">
        <v>156</v>
      </c>
      <c r="C80" s="64" t="s">
        <v>164</v>
      </c>
      <c r="D80" s="11">
        <v>20000</v>
      </c>
      <c r="E80" s="11">
        <f t="shared" si="1"/>
        <v>266.66666666666669</v>
      </c>
      <c r="F80" s="11">
        <v>0</v>
      </c>
      <c r="G80" s="11">
        <v>0</v>
      </c>
      <c r="H80" s="22" t="s">
        <v>2</v>
      </c>
      <c r="I80" s="1"/>
    </row>
    <row r="81" spans="1:9" x14ac:dyDescent="0.25">
      <c r="A81" s="1"/>
      <c r="B81" s="63" t="s">
        <v>149</v>
      </c>
      <c r="C81" s="64" t="s">
        <v>164</v>
      </c>
      <c r="D81" s="11">
        <v>16000</v>
      </c>
      <c r="E81" s="11">
        <f t="shared" si="1"/>
        <v>213.33333333333334</v>
      </c>
      <c r="F81" s="11">
        <v>0</v>
      </c>
      <c r="G81" s="11">
        <v>0</v>
      </c>
      <c r="H81" s="22" t="s">
        <v>2</v>
      </c>
      <c r="I81" s="1"/>
    </row>
    <row r="82" spans="1:9" x14ac:dyDescent="0.25">
      <c r="A82" s="1"/>
      <c r="B82" s="63" t="s">
        <v>150</v>
      </c>
      <c r="C82" s="64" t="s">
        <v>164</v>
      </c>
      <c r="D82" s="11">
        <v>3000</v>
      </c>
      <c r="E82" s="11">
        <f t="shared" si="1"/>
        <v>40</v>
      </c>
      <c r="F82" s="11">
        <v>0</v>
      </c>
      <c r="G82" s="11">
        <v>0</v>
      </c>
      <c r="H82" s="22" t="s">
        <v>2</v>
      </c>
      <c r="I82" s="1"/>
    </row>
    <row r="83" spans="1:9" x14ac:dyDescent="0.25">
      <c r="A83" s="1"/>
      <c r="B83" s="63" t="s">
        <v>146</v>
      </c>
      <c r="C83" s="64" t="s">
        <v>164</v>
      </c>
      <c r="D83" s="11">
        <v>172000</v>
      </c>
      <c r="E83" s="11">
        <f t="shared" si="1"/>
        <v>2293.3333333333335</v>
      </c>
      <c r="F83" s="11">
        <v>0</v>
      </c>
      <c r="G83" s="11">
        <v>0</v>
      </c>
      <c r="H83" s="22" t="s">
        <v>2</v>
      </c>
      <c r="I83" s="1"/>
    </row>
    <row r="84" spans="1:9" ht="26.25" x14ac:dyDescent="0.25">
      <c r="A84" s="1"/>
      <c r="B84" s="63" t="s">
        <v>147</v>
      </c>
      <c r="C84" s="64" t="s">
        <v>164</v>
      </c>
      <c r="D84" s="11">
        <v>191000</v>
      </c>
      <c r="E84" s="11">
        <f t="shared" si="1"/>
        <v>2546.6666666666665</v>
      </c>
      <c r="F84" s="11">
        <v>0</v>
      </c>
      <c r="G84" s="11">
        <v>0</v>
      </c>
      <c r="H84" s="22" t="s">
        <v>2</v>
      </c>
      <c r="I84" s="1"/>
    </row>
    <row r="85" spans="1:9" ht="26.25" x14ac:dyDescent="0.25">
      <c r="A85" s="1"/>
      <c r="B85" s="63" t="s">
        <v>152</v>
      </c>
      <c r="C85" s="64" t="s">
        <v>164</v>
      </c>
      <c r="D85" s="11">
        <v>215000</v>
      </c>
      <c r="E85" s="11">
        <f t="shared" si="1"/>
        <v>2866.6666666666665</v>
      </c>
      <c r="F85" s="11">
        <v>0</v>
      </c>
      <c r="G85" s="11">
        <v>0</v>
      </c>
      <c r="H85" s="22" t="s">
        <v>2</v>
      </c>
      <c r="I85" s="1"/>
    </row>
    <row r="86" spans="1:9" ht="26.25" x14ac:dyDescent="0.25">
      <c r="A86" s="1"/>
      <c r="B86" s="63" t="s">
        <v>158</v>
      </c>
      <c r="C86" s="64" t="s">
        <v>164</v>
      </c>
      <c r="D86" s="11">
        <v>94000</v>
      </c>
      <c r="E86" s="11">
        <f t="shared" si="1"/>
        <v>1253.3333333333333</v>
      </c>
      <c r="F86" s="11">
        <v>0</v>
      </c>
      <c r="G86" s="11">
        <v>0</v>
      </c>
      <c r="H86" s="22" t="s">
        <v>2</v>
      </c>
      <c r="I86" s="1"/>
    </row>
    <row r="87" spans="1:9" x14ac:dyDescent="0.25">
      <c r="A87" s="1"/>
      <c r="B87" s="63" t="s">
        <v>149</v>
      </c>
      <c r="C87" s="64" t="s">
        <v>164</v>
      </c>
      <c r="D87" s="11">
        <v>452000</v>
      </c>
      <c r="E87" s="11">
        <f t="shared" si="1"/>
        <v>6026.666666666667</v>
      </c>
      <c r="F87" s="11">
        <v>0</v>
      </c>
      <c r="G87" s="11">
        <v>0</v>
      </c>
      <c r="H87" s="22" t="s">
        <v>2</v>
      </c>
      <c r="I87" s="1"/>
    </row>
    <row r="88" spans="1:9" ht="26.25" x14ac:dyDescent="0.25">
      <c r="A88" s="1"/>
      <c r="B88" s="63" t="s">
        <v>160</v>
      </c>
      <c r="C88" s="64" t="s">
        <v>165</v>
      </c>
      <c r="D88" s="11">
        <v>380000</v>
      </c>
      <c r="E88" s="11">
        <f t="shared" si="1"/>
        <v>7600</v>
      </c>
      <c r="F88" s="11">
        <v>0</v>
      </c>
      <c r="G88" s="11">
        <v>0</v>
      </c>
      <c r="H88" s="22" t="s">
        <v>2</v>
      </c>
      <c r="I88" s="1"/>
    </row>
    <row r="89" spans="1:9" ht="26.25" x14ac:dyDescent="0.25">
      <c r="A89" s="1"/>
      <c r="B89" s="63" t="s">
        <v>161</v>
      </c>
      <c r="C89" s="64" t="s">
        <v>166</v>
      </c>
      <c r="D89" s="11">
        <v>232000</v>
      </c>
      <c r="E89" s="11">
        <f t="shared" si="1"/>
        <v>11600</v>
      </c>
      <c r="F89" s="11">
        <v>0</v>
      </c>
      <c r="G89" s="11">
        <v>0</v>
      </c>
      <c r="H89" s="22" t="s">
        <v>2</v>
      </c>
      <c r="I89" s="1"/>
    </row>
    <row r="90" spans="1:9" ht="26.25" x14ac:dyDescent="0.25">
      <c r="A90" s="1"/>
      <c r="B90" s="63" t="s">
        <v>162</v>
      </c>
      <c r="C90" s="64" t="s">
        <v>167</v>
      </c>
      <c r="D90" s="11">
        <v>57000</v>
      </c>
      <c r="E90" s="11">
        <f t="shared" si="1"/>
        <v>5700</v>
      </c>
      <c r="F90" s="11">
        <v>0</v>
      </c>
      <c r="G90" s="11">
        <v>0</v>
      </c>
      <c r="H90" s="22" t="s">
        <v>2</v>
      </c>
      <c r="I90" s="1"/>
    </row>
    <row r="91" spans="1:9" x14ac:dyDescent="0.25">
      <c r="A91" s="1"/>
      <c r="B91" s="63" t="s">
        <v>151</v>
      </c>
      <c r="C91" s="64" t="s">
        <v>165</v>
      </c>
      <c r="D91" s="11">
        <v>906000</v>
      </c>
      <c r="E91" s="11">
        <f t="shared" si="1"/>
        <v>18120</v>
      </c>
      <c r="F91" s="11">
        <v>0</v>
      </c>
      <c r="G91" s="11">
        <v>0</v>
      </c>
      <c r="H91" s="22" t="s">
        <v>2</v>
      </c>
      <c r="I91" s="1"/>
    </row>
    <row r="92" spans="1:9" x14ac:dyDescent="0.25">
      <c r="A92" s="1"/>
      <c r="B92" s="63" t="s">
        <v>163</v>
      </c>
      <c r="C92" s="64" t="s">
        <v>164</v>
      </c>
      <c r="D92" s="11">
        <v>160000</v>
      </c>
      <c r="E92" s="11">
        <f t="shared" si="1"/>
        <v>2133.3333333333335</v>
      </c>
      <c r="F92" s="11">
        <v>0</v>
      </c>
      <c r="G92" s="11">
        <v>0</v>
      </c>
      <c r="H92" s="22" t="s">
        <v>2</v>
      </c>
      <c r="I92" s="1"/>
    </row>
    <row r="93" spans="1:9" x14ac:dyDescent="0.25">
      <c r="A93" s="1"/>
      <c r="B93" s="63" t="s">
        <v>146</v>
      </c>
      <c r="C93" s="64" t="s">
        <v>164</v>
      </c>
      <c r="D93" s="11">
        <v>974000</v>
      </c>
      <c r="E93" s="11">
        <f t="shared" si="1"/>
        <v>12986.666666666666</v>
      </c>
      <c r="F93" s="11">
        <v>0</v>
      </c>
      <c r="G93" s="11">
        <v>0</v>
      </c>
      <c r="H93" s="22" t="s">
        <v>2</v>
      </c>
      <c r="I93" s="1"/>
    </row>
    <row r="94" spans="1:9" ht="26.25" x14ac:dyDescent="0.25">
      <c r="A94" s="1"/>
      <c r="B94" s="63" t="s">
        <v>147</v>
      </c>
      <c r="C94" s="64" t="s">
        <v>164</v>
      </c>
      <c r="D94" s="11">
        <v>810000</v>
      </c>
      <c r="E94" s="11">
        <f t="shared" si="1"/>
        <v>10800</v>
      </c>
      <c r="F94" s="11">
        <v>0</v>
      </c>
      <c r="G94" s="11">
        <v>0</v>
      </c>
      <c r="H94" s="22" t="s">
        <v>2</v>
      </c>
      <c r="I94" s="1"/>
    </row>
    <row r="95" spans="1:9" ht="26.25" x14ac:dyDescent="0.25">
      <c r="A95" s="1"/>
      <c r="B95" s="63" t="s">
        <v>152</v>
      </c>
      <c r="C95" s="64" t="s">
        <v>164</v>
      </c>
      <c r="D95" s="11">
        <v>73000</v>
      </c>
      <c r="E95" s="11">
        <f t="shared" si="1"/>
        <v>973.33333333333337</v>
      </c>
      <c r="F95" s="11">
        <v>0</v>
      </c>
      <c r="G95" s="11">
        <v>0</v>
      </c>
      <c r="H95" s="22" t="s">
        <v>2</v>
      </c>
      <c r="I95" s="1"/>
    </row>
    <row r="96" spans="1:9" x14ac:dyDescent="0.25">
      <c r="A96" s="1"/>
      <c r="B96" s="63" t="s">
        <v>149</v>
      </c>
      <c r="C96" s="64" t="s">
        <v>164</v>
      </c>
      <c r="D96" s="11">
        <v>609000</v>
      </c>
      <c r="E96" s="11">
        <f t="shared" si="1"/>
        <v>8120</v>
      </c>
      <c r="F96" s="11">
        <v>0</v>
      </c>
      <c r="G96" s="11">
        <v>0</v>
      </c>
      <c r="H96" s="22" t="s">
        <v>2</v>
      </c>
      <c r="I96" s="1"/>
    </row>
    <row r="97" spans="1:9" x14ac:dyDescent="0.25">
      <c r="A97" s="1"/>
      <c r="B97" s="63" t="s">
        <v>150</v>
      </c>
      <c r="C97" s="64" t="s">
        <v>164</v>
      </c>
      <c r="D97" s="11">
        <v>459000</v>
      </c>
      <c r="E97" s="11">
        <f t="shared" si="1"/>
        <v>6120</v>
      </c>
      <c r="F97" s="11">
        <v>0</v>
      </c>
      <c r="G97" s="11">
        <v>0</v>
      </c>
      <c r="H97" s="22" t="s">
        <v>2</v>
      </c>
      <c r="I97" s="1"/>
    </row>
    <row r="98" spans="1:9" x14ac:dyDescent="0.25">
      <c r="A98" s="1"/>
      <c r="B98" s="63" t="s">
        <v>146</v>
      </c>
      <c r="C98" s="64" t="s">
        <v>164</v>
      </c>
      <c r="D98" s="11">
        <v>574000</v>
      </c>
      <c r="E98" s="11">
        <f t="shared" si="1"/>
        <v>7653.333333333333</v>
      </c>
      <c r="F98" s="11">
        <v>0</v>
      </c>
      <c r="G98" s="11">
        <v>0</v>
      </c>
      <c r="H98" s="22" t="s">
        <v>2</v>
      </c>
      <c r="I98" s="1"/>
    </row>
    <row r="99" spans="1:9" ht="26.25" x14ac:dyDescent="0.25">
      <c r="A99" s="1"/>
      <c r="B99" s="63" t="s">
        <v>147</v>
      </c>
      <c r="C99" s="64" t="s">
        <v>164</v>
      </c>
      <c r="D99" s="11">
        <v>616000</v>
      </c>
      <c r="E99" s="11">
        <f t="shared" si="1"/>
        <v>8213.3333333333339</v>
      </c>
      <c r="F99" s="11">
        <v>0</v>
      </c>
      <c r="G99" s="11">
        <v>0</v>
      </c>
      <c r="H99" s="22" t="s">
        <v>2</v>
      </c>
      <c r="I99" s="1"/>
    </row>
    <row r="100" spans="1:9" ht="26.25" x14ac:dyDescent="0.25">
      <c r="A100" s="1"/>
      <c r="B100" s="63" t="s">
        <v>152</v>
      </c>
      <c r="C100" s="64" t="s">
        <v>164</v>
      </c>
      <c r="D100" s="11">
        <v>392000</v>
      </c>
      <c r="E100" s="11">
        <f t="shared" si="1"/>
        <v>5226.666666666667</v>
      </c>
      <c r="F100" s="11">
        <v>0</v>
      </c>
      <c r="G100" s="11">
        <v>0</v>
      </c>
      <c r="H100" s="22" t="s">
        <v>2</v>
      </c>
      <c r="I100" s="1"/>
    </row>
    <row r="101" spans="1:9" x14ac:dyDescent="0.25">
      <c r="A101" s="1"/>
      <c r="B101" s="63" t="s">
        <v>149</v>
      </c>
      <c r="C101" s="64" t="s">
        <v>164</v>
      </c>
      <c r="D101" s="11">
        <v>700000</v>
      </c>
      <c r="E101" s="11">
        <f t="shared" si="1"/>
        <v>9333.3333333333339</v>
      </c>
      <c r="F101" s="11">
        <v>0</v>
      </c>
      <c r="G101" s="11">
        <v>0</v>
      </c>
      <c r="H101" s="22" t="s">
        <v>2</v>
      </c>
      <c r="I101" s="1"/>
    </row>
    <row r="102" spans="1:9" x14ac:dyDescent="0.25">
      <c r="A102" s="1"/>
      <c r="B102" s="63" t="s">
        <v>150</v>
      </c>
      <c r="C102" s="64" t="s">
        <v>164</v>
      </c>
      <c r="D102" s="11">
        <v>518000</v>
      </c>
      <c r="E102" s="11">
        <f t="shared" si="1"/>
        <v>6906.666666666667</v>
      </c>
      <c r="F102" s="11">
        <v>0</v>
      </c>
      <c r="G102" s="11">
        <v>0</v>
      </c>
      <c r="H102" s="22" t="s">
        <v>2</v>
      </c>
      <c r="I102" s="1"/>
    </row>
    <row r="103" spans="1:9" x14ac:dyDescent="0.25">
      <c r="A103" s="1"/>
      <c r="B103" s="63" t="s">
        <v>146</v>
      </c>
      <c r="C103" s="64" t="s">
        <v>164</v>
      </c>
      <c r="D103" s="11">
        <v>943000</v>
      </c>
      <c r="E103" s="11">
        <f t="shared" si="1"/>
        <v>12573.333333333334</v>
      </c>
      <c r="F103" s="11">
        <v>0</v>
      </c>
      <c r="G103" s="11">
        <v>0</v>
      </c>
      <c r="H103" s="22" t="s">
        <v>2</v>
      </c>
      <c r="I103" s="1"/>
    </row>
    <row r="104" spans="1:9" ht="26.25" x14ac:dyDescent="0.25">
      <c r="A104" s="1"/>
      <c r="B104" s="63" t="s">
        <v>147</v>
      </c>
      <c r="C104" s="64" t="s">
        <v>164</v>
      </c>
      <c r="D104" s="11">
        <v>209000</v>
      </c>
      <c r="E104" s="11">
        <f t="shared" si="1"/>
        <v>2786.6666666666665</v>
      </c>
      <c r="F104" s="11">
        <v>0</v>
      </c>
      <c r="G104" s="11">
        <v>0</v>
      </c>
      <c r="H104" s="22" t="s">
        <v>2</v>
      </c>
      <c r="I104" s="1"/>
    </row>
    <row r="105" spans="1:9" x14ac:dyDescent="0.25">
      <c r="A105" s="1"/>
      <c r="B105" s="63" t="s">
        <v>149</v>
      </c>
      <c r="C105" s="64" t="s">
        <v>164</v>
      </c>
      <c r="D105" s="11">
        <v>731000</v>
      </c>
      <c r="E105" s="11">
        <f t="shared" si="1"/>
        <v>9746.6666666666661</v>
      </c>
      <c r="F105" s="11">
        <v>0</v>
      </c>
      <c r="G105" s="11">
        <v>0</v>
      </c>
      <c r="H105" s="22" t="s">
        <v>2</v>
      </c>
      <c r="I105" s="1"/>
    </row>
    <row r="106" spans="1:9" x14ac:dyDescent="0.25">
      <c r="A106" s="1"/>
      <c r="B106" s="63" t="s">
        <v>150</v>
      </c>
      <c r="C106" s="64" t="s">
        <v>164</v>
      </c>
      <c r="D106" s="11">
        <v>445000</v>
      </c>
      <c r="E106" s="11">
        <f t="shared" si="1"/>
        <v>5933.333333333333</v>
      </c>
      <c r="F106" s="11">
        <v>0</v>
      </c>
      <c r="G106" s="11">
        <v>0</v>
      </c>
      <c r="H106" s="22" t="s">
        <v>2</v>
      </c>
      <c r="I106" s="1"/>
    </row>
    <row r="107" spans="1:9" x14ac:dyDescent="0.25">
      <c r="A107" s="1"/>
      <c r="B107" s="63" t="s">
        <v>146</v>
      </c>
      <c r="C107" s="64" t="s">
        <v>164</v>
      </c>
      <c r="D107" s="11">
        <v>1007000</v>
      </c>
      <c r="E107" s="11">
        <f t="shared" si="1"/>
        <v>13426.666666666666</v>
      </c>
      <c r="F107" s="11">
        <v>0</v>
      </c>
      <c r="G107" s="11">
        <v>0</v>
      </c>
      <c r="H107" s="22" t="s">
        <v>2</v>
      </c>
      <c r="I107" s="1"/>
    </row>
    <row r="108" spans="1:9" ht="26.25" x14ac:dyDescent="0.25">
      <c r="A108" s="1"/>
      <c r="B108" s="63" t="s">
        <v>147</v>
      </c>
      <c r="C108" s="64" t="s">
        <v>164</v>
      </c>
      <c r="D108" s="11">
        <v>789000</v>
      </c>
      <c r="E108" s="11">
        <f t="shared" si="1"/>
        <v>10520</v>
      </c>
      <c r="F108" s="11">
        <v>0</v>
      </c>
      <c r="G108" s="11">
        <v>0</v>
      </c>
      <c r="H108" s="22" t="s">
        <v>2</v>
      </c>
      <c r="I108" s="1"/>
    </row>
    <row r="109" spans="1:9" ht="26.25" x14ac:dyDescent="0.25">
      <c r="A109" s="1"/>
      <c r="B109" s="63" t="s">
        <v>152</v>
      </c>
      <c r="C109" s="64" t="s">
        <v>164</v>
      </c>
      <c r="D109" s="11">
        <v>564000</v>
      </c>
      <c r="E109" s="11">
        <f t="shared" si="1"/>
        <v>7520</v>
      </c>
      <c r="F109" s="11">
        <v>0</v>
      </c>
      <c r="G109" s="11">
        <v>0</v>
      </c>
      <c r="H109" s="22" t="s">
        <v>2</v>
      </c>
      <c r="I109" s="1"/>
    </row>
    <row r="110" spans="1:9" x14ac:dyDescent="0.25">
      <c r="A110" s="1"/>
      <c r="B110" s="63" t="s">
        <v>149</v>
      </c>
      <c r="C110" s="64" t="s">
        <v>164</v>
      </c>
      <c r="D110" s="11">
        <v>1255000</v>
      </c>
      <c r="E110" s="11">
        <f t="shared" si="1"/>
        <v>16733.333333333332</v>
      </c>
      <c r="F110" s="11">
        <v>0</v>
      </c>
      <c r="G110" s="11">
        <v>0</v>
      </c>
      <c r="H110" s="22" t="s">
        <v>2</v>
      </c>
      <c r="I110" s="1"/>
    </row>
    <row r="111" spans="1:9" x14ac:dyDescent="0.25">
      <c r="A111" s="1"/>
      <c r="B111" s="63" t="s">
        <v>150</v>
      </c>
      <c r="C111" s="64" t="s">
        <v>164</v>
      </c>
      <c r="D111" s="11">
        <v>272000</v>
      </c>
      <c r="E111" s="11">
        <f t="shared" si="1"/>
        <v>3626.6666666666665</v>
      </c>
      <c r="F111" s="11">
        <v>0</v>
      </c>
      <c r="G111" s="11">
        <v>0</v>
      </c>
      <c r="H111" s="22" t="s">
        <v>2</v>
      </c>
      <c r="I111" s="1"/>
    </row>
    <row r="112" spans="1:9" x14ac:dyDescent="0.25">
      <c r="A112" s="1"/>
      <c r="B112" s="63" t="s">
        <v>146</v>
      </c>
      <c r="C112" s="64" t="s">
        <v>164</v>
      </c>
      <c r="D112" s="11">
        <v>255000</v>
      </c>
      <c r="E112" s="11">
        <f t="shared" ref="E112:E113" si="2">D112/C112</f>
        <v>3400</v>
      </c>
      <c r="F112" s="11">
        <v>0</v>
      </c>
      <c r="G112" s="11">
        <v>0</v>
      </c>
      <c r="H112" s="22" t="s">
        <v>2</v>
      </c>
      <c r="I112" s="1"/>
    </row>
    <row r="113" spans="1:9" x14ac:dyDescent="0.25">
      <c r="A113" s="1"/>
      <c r="B113" s="63" t="s">
        <v>149</v>
      </c>
      <c r="C113" s="64" t="s">
        <v>164</v>
      </c>
      <c r="D113" s="11">
        <v>323000</v>
      </c>
      <c r="E113" s="11">
        <f t="shared" si="2"/>
        <v>4306.666666666667</v>
      </c>
      <c r="F113" s="11">
        <v>0</v>
      </c>
      <c r="G113" s="11">
        <v>0</v>
      </c>
      <c r="H113" s="22" t="s">
        <v>2</v>
      </c>
      <c r="I113" s="1"/>
    </row>
    <row r="114" spans="1:9" x14ac:dyDescent="0.25">
      <c r="A114" s="1"/>
      <c r="B114" s="89" t="s">
        <v>126</v>
      </c>
      <c r="C114" s="90"/>
      <c r="D114" s="91"/>
      <c r="E114" s="20">
        <f>SUM(E10:E113)</f>
        <v>1130973.3333333333</v>
      </c>
      <c r="F114" s="20">
        <f>SUM(F10:F113)</f>
        <v>0</v>
      </c>
      <c r="G114" s="20">
        <f>SUM(G10:G113)</f>
        <v>0</v>
      </c>
      <c r="H114" s="21" t="s">
        <v>2</v>
      </c>
      <c r="I114" s="1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5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5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5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5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5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5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5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5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5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5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5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5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5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5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5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5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5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5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5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5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5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5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5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5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5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5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5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5">
      <c r="A149" s="1"/>
      <c r="B149" s="1"/>
      <c r="C149" s="1"/>
      <c r="D149" s="1"/>
      <c r="E149" s="1"/>
      <c r="F149" s="1"/>
      <c r="G149" s="1"/>
      <c r="H149" s="1"/>
      <c r="I149" s="1"/>
    </row>
  </sheetData>
  <sheetProtection password="DFE9" sheet="1" objects="1" scenarios="1"/>
  <mergeCells count="3">
    <mergeCell ref="B3:H4"/>
    <mergeCell ref="B8:H8"/>
    <mergeCell ref="B114:D114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116</v>
      </c>
      <c r="C3" s="87"/>
      <c r="D3" s="87"/>
      <c r="E3" s="87"/>
      <c r="F3" s="87"/>
      <c r="G3" s="87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8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108</v>
      </c>
      <c r="G9" s="37"/>
      <c r="H9" s="1"/>
    </row>
    <row r="10" spans="1:8" x14ac:dyDescent="0.25">
      <c r="A10" s="1"/>
      <c r="B10" s="58" t="s">
        <v>122</v>
      </c>
      <c r="C10" s="59"/>
      <c r="D10" s="60">
        <f>'Fane 8. Anlægsprojekter'!F114</f>
        <v>0</v>
      </c>
      <c r="E10" s="22" t="s">
        <v>2</v>
      </c>
      <c r="F10" s="11">
        <f>SUM('Fane 8. Anlægsprojekter'!E114,'Fane 8. Anlægsprojekter'!G114)</f>
        <v>1130973.3333333333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1130973.3333333333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1150086.7826666664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168</v>
      </c>
      <c r="C3" s="92"/>
      <c r="D3" s="92"/>
      <c r="E3" s="92"/>
      <c r="F3" s="92"/>
      <c r="G3" s="92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108</v>
      </c>
      <c r="G9" s="37"/>
      <c r="H9" s="1"/>
    </row>
    <row r="10" spans="1:8" x14ac:dyDescent="0.25">
      <c r="A10" s="1"/>
      <c r="B10" s="58" t="s">
        <v>145</v>
      </c>
      <c r="C10" s="65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169</v>
      </c>
      <c r="C3" s="92"/>
      <c r="D3" s="92"/>
      <c r="E3" s="92"/>
      <c r="F3" s="92"/>
      <c r="G3" s="1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107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0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87" t="s">
        <v>41</v>
      </c>
      <c r="C3" s="87"/>
      <c r="D3" s="87"/>
      <c r="E3" s="87"/>
      <c r="F3" s="87"/>
      <c r="G3" s="1"/>
      <c r="I3" s="36"/>
    </row>
    <row r="4" spans="1:9" ht="15" customHeight="1" x14ac:dyDescent="0.25">
      <c r="A4" s="1"/>
      <c r="B4" s="87"/>
      <c r="C4" s="87"/>
      <c r="D4" s="87"/>
      <c r="E4" s="87"/>
      <c r="F4" s="87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137911846.48495993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Tillæg'!F12</f>
        <v>1150086.7826666664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6" t="s">
        <v>37</v>
      </c>
      <c r="C14" s="11">
        <f>C9*Prisudvikling2018+SUM(C10:C13)*Prisudvikling2019</f>
        <v>2432893.7801138656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0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50" t="s">
        <v>128</v>
      </c>
      <c r="C16" s="11">
        <f>-(('Fane 5. Generelt eff. krav'!G10-'Fane 5. Generelt eff. krav'!G9-'Fane 3. Omkostninger i ØR2018'!G12)*(1+Prisudvikling2018)*GenereltKravDrift2018)</f>
        <v>-805265.74708721077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50" t="s">
        <v>129</v>
      </c>
      <c r="C17" s="11">
        <f>-(('Fane 5. Generelt eff. krav'!G12-'Fane 5. Generelt eff. krav'!G11)*(1+Prisudvikling2018)*GenereltKravAnlæg2018)</f>
        <v>-1777893.1991682285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50" t="s">
        <v>130</v>
      </c>
      <c r="C18" s="11">
        <f>-(SUM(C10,C12)*(1+Prisudvikling2019)*GenereltKravDrift2019)</f>
        <v>0</v>
      </c>
      <c r="D18" s="8" t="s">
        <v>2</v>
      </c>
      <c r="E18" s="12"/>
      <c r="F18" s="13"/>
      <c r="G18" s="1"/>
    </row>
    <row r="19" spans="1:7" ht="15" customHeight="1" x14ac:dyDescent="0.25">
      <c r="A19" s="1"/>
      <c r="B19" s="50" t="s">
        <v>131</v>
      </c>
      <c r="C19" s="11">
        <f>-(SUM(C11,C13)*(1+Prisudvikling2019)*GenereltKravAnlæg2019)</f>
        <v>-10174.852268855475</v>
      </c>
      <c r="D19" s="8" t="s">
        <v>2</v>
      </c>
      <c r="E19" s="15"/>
      <c r="F19" s="16"/>
      <c r="G19" s="1"/>
    </row>
    <row r="20" spans="1:7" ht="15" customHeight="1" x14ac:dyDescent="0.25">
      <c r="A20" s="1"/>
      <c r="B20" s="47" t="s">
        <v>40</v>
      </c>
      <c r="C20" s="17">
        <f>SUM(C9:C19)</f>
        <v>138901493.24921617</v>
      </c>
      <c r="D20" s="18" t="s">
        <v>2</v>
      </c>
      <c r="E20" s="17">
        <f>C20</f>
        <v>138901493.24921617</v>
      </c>
      <c r="F20" s="18" t="s">
        <v>2</v>
      </c>
      <c r="G20" s="1"/>
    </row>
    <row r="21" spans="1:7" ht="15" customHeight="1" x14ac:dyDescent="0.25">
      <c r="A21" s="1"/>
      <c r="B21" s="39" t="s">
        <v>74</v>
      </c>
      <c r="C21" s="40"/>
      <c r="D21" s="40"/>
      <c r="E21" s="40"/>
      <c r="F21" s="41"/>
      <c r="G21" s="1"/>
    </row>
    <row r="22" spans="1:7" ht="15" customHeight="1" x14ac:dyDescent="0.25">
      <c r="A22" s="1"/>
      <c r="B22" s="46" t="s">
        <v>144</v>
      </c>
      <c r="C22" s="11">
        <v>0</v>
      </c>
      <c r="D22" s="8" t="s">
        <v>2</v>
      </c>
      <c r="E22" s="12"/>
      <c r="F22" s="13"/>
      <c r="G22" s="1"/>
    </row>
    <row r="23" spans="1:7" ht="15" customHeight="1" x14ac:dyDescent="0.25">
      <c r="A23" s="1"/>
      <c r="B23" s="46" t="s">
        <v>76</v>
      </c>
      <c r="C23" s="11">
        <f>-(C22*(GenereltKravDrift2018+IndividueltKrav))</f>
        <v>0</v>
      </c>
      <c r="D23" s="8" t="s">
        <v>2</v>
      </c>
      <c r="E23" s="12"/>
      <c r="F23" s="13"/>
      <c r="G23" s="1"/>
    </row>
    <row r="24" spans="1:7" ht="15" customHeight="1" x14ac:dyDescent="0.25">
      <c r="A24" s="1"/>
      <c r="B24" s="29" t="s">
        <v>77</v>
      </c>
      <c r="C24" s="17">
        <f>SUM(C22:C23)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ht="15" customHeight="1" x14ac:dyDescent="0.25">
      <c r="A25" s="1"/>
      <c r="B25" s="39" t="s">
        <v>22</v>
      </c>
      <c r="C25" s="40"/>
      <c r="D25" s="40"/>
      <c r="E25" s="40"/>
      <c r="F25" s="41"/>
      <c r="G25" s="1"/>
    </row>
    <row r="26" spans="1:7" ht="15" customHeight="1" x14ac:dyDescent="0.25">
      <c r="A26" s="1"/>
      <c r="B26" s="46" t="s">
        <v>22</v>
      </c>
      <c r="C26" s="11">
        <f>'Fane 4. Ikke-påvirkelige omk.'!E16</f>
        <v>10773103.884979997</v>
      </c>
      <c r="D26" s="8" t="s">
        <v>2</v>
      </c>
      <c r="E26" s="12"/>
      <c r="F26" s="13"/>
      <c r="G26" s="1"/>
    </row>
    <row r="27" spans="1:7" ht="15" customHeight="1" x14ac:dyDescent="0.25">
      <c r="A27" s="1"/>
      <c r="B27" s="46" t="s">
        <v>79</v>
      </c>
      <c r="C27" s="11">
        <v>0</v>
      </c>
      <c r="D27" s="8" t="s">
        <v>2</v>
      </c>
      <c r="E27" s="12"/>
      <c r="F27" s="13"/>
      <c r="G27" s="1"/>
    </row>
    <row r="28" spans="1:7" ht="15" customHeight="1" x14ac:dyDescent="0.25">
      <c r="A28" s="1"/>
      <c r="B28" s="29" t="s">
        <v>80</v>
      </c>
      <c r="C28" s="17">
        <f>SUM(C26:C27)</f>
        <v>10773103.884979997</v>
      </c>
      <c r="D28" s="18" t="s">
        <v>2</v>
      </c>
      <c r="E28" s="17">
        <f>C28</f>
        <v>10773103.884979997</v>
      </c>
      <c r="F28" s="18" t="s">
        <v>2</v>
      </c>
      <c r="G28" s="1"/>
    </row>
    <row r="29" spans="1:7" ht="15" customHeight="1" x14ac:dyDescent="0.25">
      <c r="A29" s="1"/>
      <c r="B29" s="39" t="s">
        <v>50</v>
      </c>
      <c r="C29" s="40"/>
      <c r="D29" s="40"/>
      <c r="E29" s="40"/>
      <c r="F29" s="41"/>
      <c r="G29" s="1"/>
    </row>
    <row r="30" spans="1:7" ht="15" customHeight="1" x14ac:dyDescent="0.25">
      <c r="A30" s="1"/>
      <c r="B30" s="45" t="s">
        <v>81</v>
      </c>
      <c r="C30" s="7">
        <v>0</v>
      </c>
      <c r="D30" s="8" t="s">
        <v>2</v>
      </c>
      <c r="E30" s="33"/>
      <c r="F30" s="13"/>
      <c r="G30" s="1"/>
    </row>
    <row r="31" spans="1:7" ht="15" customHeight="1" x14ac:dyDescent="0.25">
      <c r="A31" s="1"/>
      <c r="B31" s="45" t="s">
        <v>51</v>
      </c>
      <c r="C31" s="7">
        <v>0</v>
      </c>
      <c r="D31" s="8" t="s">
        <v>2</v>
      </c>
      <c r="E31" s="32"/>
      <c r="F31" s="13"/>
      <c r="G31" s="1"/>
    </row>
    <row r="32" spans="1:7" ht="28.5" customHeight="1" x14ac:dyDescent="0.25">
      <c r="A32" s="1"/>
      <c r="B32" s="46" t="s">
        <v>52</v>
      </c>
      <c r="C32" s="7">
        <v>12529.994489204266</v>
      </c>
      <c r="D32" s="8" t="s">
        <v>2</v>
      </c>
      <c r="E32" s="32"/>
      <c r="F32" s="13"/>
      <c r="G32" s="1"/>
    </row>
    <row r="33" spans="1:7" ht="15" customHeight="1" x14ac:dyDescent="0.25">
      <c r="A33" s="1"/>
      <c r="B33" s="47" t="s">
        <v>53</v>
      </c>
      <c r="C33" s="17">
        <f>SUM(C30:C32)</f>
        <v>12529.994489204266</v>
      </c>
      <c r="D33" s="18" t="s">
        <v>2</v>
      </c>
      <c r="E33" s="17">
        <f>C33</f>
        <v>12529.994489204266</v>
      </c>
      <c r="F33" s="18" t="s">
        <v>2</v>
      </c>
      <c r="G33" s="1"/>
    </row>
    <row r="34" spans="1:7" x14ac:dyDescent="0.25">
      <c r="A34" s="1"/>
      <c r="B34" s="39" t="s">
        <v>15</v>
      </c>
      <c r="C34" s="40"/>
      <c r="D34" s="40"/>
      <c r="E34" s="40"/>
      <c r="F34" s="41"/>
      <c r="G34" s="1"/>
    </row>
    <row r="35" spans="1:7" ht="15" customHeight="1" x14ac:dyDescent="0.25">
      <c r="A35" s="1"/>
      <c r="B35" s="47" t="s">
        <v>24</v>
      </c>
      <c r="C35" s="17">
        <f>'Fane 6. Hist. over el. underdæk'!G13</f>
        <v>0</v>
      </c>
      <c r="D35" s="18" t="s">
        <v>2</v>
      </c>
      <c r="E35" s="17">
        <f>C35</f>
        <v>0</v>
      </c>
      <c r="F35" s="18" t="s">
        <v>2</v>
      </c>
      <c r="G35" s="1"/>
    </row>
    <row r="36" spans="1:7" x14ac:dyDescent="0.25">
      <c r="A36" s="1"/>
      <c r="B36" s="39" t="s">
        <v>33</v>
      </c>
      <c r="C36" s="40"/>
      <c r="D36" s="41"/>
      <c r="E36" s="20">
        <f>SUM(E20,E24,E28,E33,E35)</f>
        <v>149687127.12868536</v>
      </c>
      <c r="F36" s="21" t="s">
        <v>2</v>
      </c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42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/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25</v>
      </c>
      <c r="C8" s="90"/>
      <c r="D8" s="90"/>
      <c r="E8" s="90"/>
      <c r="F8" s="91"/>
      <c r="G8" s="1"/>
    </row>
    <row r="9" spans="1:7" ht="15" customHeight="1" x14ac:dyDescent="0.25">
      <c r="A9" s="1"/>
      <c r="B9" s="45" t="s">
        <v>55</v>
      </c>
      <c r="C9" s="7">
        <f>'Fane 2.1. Økonomisk ramme 2019'!E20</f>
        <v>138901493.24921617</v>
      </c>
      <c r="D9" s="8" t="s">
        <v>2</v>
      </c>
      <c r="E9" s="9"/>
      <c r="F9" s="10"/>
      <c r="G9" s="1"/>
    </row>
    <row r="10" spans="1:7" ht="15" customHeight="1" x14ac:dyDescent="0.25">
      <c r="A10" s="1"/>
      <c r="B10" s="50" t="s">
        <v>132</v>
      </c>
      <c r="C10" s="7">
        <f>SUM('Fane 2.1. Økonomisk ramme 2019'!C10,'Fane 2.1. Økonomisk ramme 2019'!C12)*(1+Prisudvikling2019)*(1-IndividueltKrav-GenereltKravDrift2019)</f>
        <v>0</v>
      </c>
      <c r="D10" s="8" t="s">
        <v>2</v>
      </c>
      <c r="E10" s="32"/>
      <c r="F10" s="13"/>
      <c r="G10" s="1"/>
    </row>
    <row r="11" spans="1:7" ht="15" customHeight="1" x14ac:dyDescent="0.25">
      <c r="A11" s="1"/>
      <c r="B11" s="50" t="s">
        <v>133</v>
      </c>
      <c r="C11" s="7">
        <f>SUM('Fane 2.1. Økonomisk ramme 2019'!C11,'Fane 2.1. Økonomisk ramme 2019'!C13)*(1+Prisudvikling2019)*(1-IndividueltKrav-GenereltKravAnlæg2019)</f>
        <v>1159348.3970248774</v>
      </c>
      <c r="D11" s="8" t="s">
        <v>2</v>
      </c>
      <c r="E11" s="32"/>
      <c r="F11" s="13"/>
      <c r="G11" s="1"/>
    </row>
    <row r="12" spans="1:7" ht="15" customHeight="1" x14ac:dyDescent="0.25">
      <c r="A12" s="1"/>
      <c r="B12" s="46" t="s">
        <v>37</v>
      </c>
      <c r="C12" s="11">
        <f>(C9-SUM(C10:C11))*Prisudvikling2018+SUM(C10:C11)*Prisudvikling2019</f>
        <v>2430080.5228230683</v>
      </c>
      <c r="D12" s="8" t="s">
        <v>2</v>
      </c>
      <c r="E12" s="12"/>
      <c r="F12" s="13"/>
      <c r="G12" s="1"/>
    </row>
    <row r="13" spans="1:7" ht="15" customHeight="1" x14ac:dyDescent="0.25">
      <c r="A13" s="1"/>
      <c r="B13" s="46" t="s">
        <v>13</v>
      </c>
      <c r="C13" s="11">
        <f>-SUM(C9,C12)*IndividueltKrav</f>
        <v>0</v>
      </c>
      <c r="D13" s="8" t="s">
        <v>2</v>
      </c>
      <c r="E13" s="12"/>
      <c r="F13" s="13"/>
      <c r="G13" s="1"/>
    </row>
    <row r="14" spans="1:7" ht="15" customHeight="1" x14ac:dyDescent="0.25">
      <c r="A14" s="1"/>
      <c r="B14" s="50" t="s">
        <v>128</v>
      </c>
      <c r="C14" s="11">
        <f>('Fane 2.1. Økonomisk ramme 2019'!C16/GenereltKravDrift2018-'Fane 2.1. Økonomisk ramme 2019'!C16)*(1+Prisudvikling2018)*GenereltKravDrift2018</f>
        <v>-802970.7397080122</v>
      </c>
      <c r="D14" s="8" t="s">
        <v>2</v>
      </c>
      <c r="E14" s="14"/>
      <c r="F14" s="13"/>
      <c r="G14" s="1"/>
    </row>
    <row r="15" spans="1:7" ht="15" customHeight="1" x14ac:dyDescent="0.25">
      <c r="A15" s="1"/>
      <c r="B15" s="50" t="s">
        <v>129</v>
      </c>
      <c r="C15" s="11">
        <f>(('Fane 2.1. Økonomisk ramme 2019'!C17/GenereltKravAnlæg2018-'Fane 2.1. Økonomisk ramme 2019'!C17)*(1+Prisudvikling2018)*GenereltKravAnlæg2018)</f>
        <v>-1776986.9181099527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50" t="s">
        <v>130</v>
      </c>
      <c r="C16" s="11">
        <f>('Fane 2.1. Økonomisk ramme 2019'!C18/GenereltKravDrift2019-'Fane 2.1. Økonomisk ramme 2019'!C18)*(1+Prisudvikling2019)*GenereltKravDrift2019</f>
        <v>0</v>
      </c>
      <c r="D16" s="8" t="s">
        <v>2</v>
      </c>
      <c r="E16" s="14"/>
      <c r="F16" s="13"/>
      <c r="G16" s="1"/>
    </row>
    <row r="17" spans="1:7" ht="15" customHeight="1" x14ac:dyDescent="0.25">
      <c r="A17" s="1"/>
      <c r="B17" s="50" t="s">
        <v>131</v>
      </c>
      <c r="C17" s="11">
        <f>(('Fane 2.1. Økonomisk ramme 2019'!C19/GenereltKravAnlæg2019-'Fane 2.1. Økonomisk ramme 2019'!C19)*(1+Prisudvikling2019)*GenereltKravAnlæg2019)</f>
        <v>-10256.790048931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47" t="s">
        <v>40</v>
      </c>
      <c r="C18" s="17">
        <f>SUM(C9,C12:C17)</f>
        <v>138741359.32417235</v>
      </c>
      <c r="D18" s="18" t="s">
        <v>2</v>
      </c>
      <c r="E18" s="17">
        <f>C18</f>
        <v>138741359.32417235</v>
      </c>
      <c r="F18" s="18" t="s">
        <v>2</v>
      </c>
      <c r="G18" s="1"/>
    </row>
    <row r="19" spans="1:7" ht="15" customHeight="1" x14ac:dyDescent="0.25">
      <c r="A19" s="1"/>
      <c r="B19" s="89" t="s">
        <v>74</v>
      </c>
      <c r="C19" s="90"/>
      <c r="D19" s="90"/>
      <c r="E19" s="90"/>
      <c r="F19" s="91"/>
      <c r="G19" s="1"/>
    </row>
    <row r="20" spans="1:7" ht="15" customHeight="1" x14ac:dyDescent="0.25">
      <c r="A20" s="1"/>
      <c r="B20" s="46" t="s">
        <v>144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-(C20*(GenereltKravDrift2019+IndividueltKrav))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x14ac:dyDescent="0.25">
      <c r="A23" s="1"/>
      <c r="B23" s="89" t="s">
        <v>22</v>
      </c>
      <c r="C23" s="90"/>
      <c r="D23" s="90"/>
      <c r="E23" s="90"/>
      <c r="F23" s="91"/>
      <c r="G23" s="1"/>
    </row>
    <row r="24" spans="1:7" ht="15" customHeight="1" x14ac:dyDescent="0.25">
      <c r="A24" s="1"/>
      <c r="B24" s="46" t="s">
        <v>22</v>
      </c>
      <c r="C24" s="11">
        <f>'Fane 4. Ikke-påvirkelige omk.'!E16*(1+Prisudvikling2019)</f>
        <v>10955169.340636158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4"/>
      <c r="F25" s="13"/>
      <c r="G25" s="1"/>
    </row>
    <row r="26" spans="1:7" ht="15" customHeight="1" x14ac:dyDescent="0.25">
      <c r="A26" s="1"/>
      <c r="B26" s="29" t="s">
        <v>80</v>
      </c>
      <c r="C26" s="17">
        <f>SUM(C24:C25)</f>
        <v>10955169.340636158</v>
      </c>
      <c r="D26" s="18" t="s">
        <v>2</v>
      </c>
      <c r="E26" s="17">
        <f>C26</f>
        <v>10955169.340636158</v>
      </c>
      <c r="F26" s="18" t="s">
        <v>2</v>
      </c>
      <c r="G26" s="1"/>
    </row>
    <row r="27" spans="1:7" x14ac:dyDescent="0.25">
      <c r="A27" s="1"/>
      <c r="B27" s="89" t="s">
        <v>15</v>
      </c>
      <c r="C27" s="90"/>
      <c r="D27" s="90"/>
      <c r="E27" s="90"/>
      <c r="F27" s="91"/>
      <c r="G27" s="1"/>
    </row>
    <row r="28" spans="1:7" ht="15" customHeight="1" x14ac:dyDescent="0.25">
      <c r="A28" s="1"/>
      <c r="B28" s="29" t="s">
        <v>24</v>
      </c>
      <c r="C28" s="17">
        <f>IF('Fane 6. Hist. over el. underdæk'!G12&gt;1,'Fane 6. Hist. over el. underdæk'!G13,0)</f>
        <v>0</v>
      </c>
      <c r="D28" s="18" t="s">
        <v>2</v>
      </c>
      <c r="E28" s="17">
        <f>C28</f>
        <v>0</v>
      </c>
      <c r="F28" s="18" t="s">
        <v>2</v>
      </c>
      <c r="G28" s="1"/>
    </row>
    <row r="29" spans="1:7" x14ac:dyDescent="0.25">
      <c r="A29" s="1"/>
      <c r="B29" s="39" t="s">
        <v>56</v>
      </c>
      <c r="C29" s="40"/>
      <c r="D29" s="41"/>
      <c r="E29" s="20">
        <f>SUM(E18,E22,E26,E28)</f>
        <v>149696528.66480851</v>
      </c>
      <c r="F29" s="21" t="s">
        <v>2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6">
    <mergeCell ref="B3:F4"/>
    <mergeCell ref="B5:F5"/>
    <mergeCell ref="B27:F27"/>
    <mergeCell ref="B23:F23"/>
    <mergeCell ref="B19:F19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89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/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x14ac:dyDescent="0.25">
      <c r="A9" s="1"/>
      <c r="B9" s="42" t="s">
        <v>57</v>
      </c>
      <c r="C9" s="7">
        <f>'Fane 2.2. Økonomisk ramme 2020'!E18</f>
        <v>138741359.32417235</v>
      </c>
      <c r="D9" s="8" t="s">
        <v>2</v>
      </c>
      <c r="E9" s="9"/>
      <c r="F9" s="10"/>
      <c r="G9" s="1"/>
    </row>
    <row r="10" spans="1:7" x14ac:dyDescent="0.25">
      <c r="A10" s="1"/>
      <c r="B10" s="46" t="s">
        <v>132</v>
      </c>
      <c r="C10" s="7">
        <f>'Fane 2.2. Økonomisk ramme 2020'!C10*(1+Prisudvikling2019)*(1-IndividueltKrav-GenereltKravDrift2019)</f>
        <v>0</v>
      </c>
      <c r="D10" s="8" t="s">
        <v>2</v>
      </c>
      <c r="E10" s="32"/>
      <c r="F10" s="13"/>
      <c r="G10" s="1"/>
    </row>
    <row r="11" spans="1:7" x14ac:dyDescent="0.25">
      <c r="A11" s="1"/>
      <c r="B11" s="50" t="s">
        <v>133</v>
      </c>
      <c r="C11" s="7">
        <f>'Fane 2.2. Økonomisk ramme 2020'!C11*(1+Prisudvikling2019)*(1-IndividueltKrav-GenereltKravAnlæg2019)</f>
        <v>1168684.5948856666</v>
      </c>
      <c r="D11" s="8" t="s">
        <v>2</v>
      </c>
      <c r="E11" s="32"/>
      <c r="F11" s="13"/>
      <c r="G11" s="1"/>
    </row>
    <row r="12" spans="1:7" ht="15" customHeight="1" x14ac:dyDescent="0.25">
      <c r="A12" s="1"/>
      <c r="B12" s="46" t="s">
        <v>37</v>
      </c>
      <c r="C12" s="11">
        <f>(C9-SUM(C10:C11))*Prisudvikling2018+SUM(C10:C11)*Prisudvikling2019</f>
        <v>2427272.5774160847</v>
      </c>
      <c r="D12" s="8" t="s">
        <v>2</v>
      </c>
      <c r="E12" s="12"/>
      <c r="F12" s="13"/>
      <c r="G12" s="1"/>
    </row>
    <row r="13" spans="1:7" ht="15" customHeight="1" x14ac:dyDescent="0.25">
      <c r="A13" s="1"/>
      <c r="B13" s="46" t="s">
        <v>13</v>
      </c>
      <c r="C13" s="11">
        <f>-SUM(C9,C12)*IndividueltKrav</f>
        <v>0</v>
      </c>
      <c r="D13" s="8" t="s">
        <v>2</v>
      </c>
      <c r="E13" s="12"/>
      <c r="F13" s="13"/>
      <c r="G13" s="1"/>
    </row>
    <row r="14" spans="1:7" ht="15" customHeight="1" x14ac:dyDescent="0.25">
      <c r="A14" s="1"/>
      <c r="B14" s="50" t="s">
        <v>128</v>
      </c>
      <c r="C14" s="11">
        <f>(('Fane 2.2. Økonomisk ramme 2020'!C14/GenereltKravDrift2018-'Fane 2.2. Økonomisk ramme 2020'!C14)*(1+Prisudvikling2018)*GenereltKravDrift2018)</f>
        <v>-800682.27309984446</v>
      </c>
      <c r="D14" s="8" t="s">
        <v>2</v>
      </c>
      <c r="E14" s="12"/>
      <c r="F14" s="13"/>
      <c r="G14" s="1"/>
    </row>
    <row r="15" spans="1:7" ht="15" customHeight="1" x14ac:dyDescent="0.25">
      <c r="A15" s="1"/>
      <c r="B15" s="50" t="s">
        <v>129</v>
      </c>
      <c r="C15" s="11">
        <f>(('Fane 2.2. Økonomisk ramme 2020'!C15/GenereltKravAnlæg2018-'Fane 2.2. Økonomisk ramme 2020'!C15)*(1+Prisudvikling2018)*GenereltKravAnlæg2018)</f>
        <v>-1776081.0990284462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50" t="s">
        <v>130</v>
      </c>
      <c r="C16" s="11">
        <f>(('Fane 2.2. Økonomisk ramme 2020'!C16/GenereltKravDrift2019-'Fane 2.2. Økonomisk ramme 2020'!C16)*(1+Prisudvikling2019)*GenereltKravDrift2019)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50" t="s">
        <v>131</v>
      </c>
      <c r="C17" s="11">
        <f>(('Fane 2.2. Økonomisk ramme 2020'!C17/GenereltKravAnlæg2019-'Fane 2.2. Økonomisk ramme 2020'!C17)*(1+Prisudvikling2019)*GenereltKravAnlæg2019)</f>
        <v>-10339.387671491337</v>
      </c>
      <c r="D17" s="8" t="s">
        <v>2</v>
      </c>
      <c r="E17" s="12"/>
      <c r="F17" s="13"/>
      <c r="G17" s="1"/>
    </row>
    <row r="18" spans="1:7" x14ac:dyDescent="0.25">
      <c r="A18" s="1"/>
      <c r="B18" s="47" t="s">
        <v>40</v>
      </c>
      <c r="C18" s="17">
        <f>SUM(C9,C12:C17)</f>
        <v>138581529.14178866</v>
      </c>
      <c r="D18" s="18" t="s">
        <v>2</v>
      </c>
      <c r="E18" s="17">
        <f>C18</f>
        <v>138581529.14178866</v>
      </c>
      <c r="F18" s="18" t="s">
        <v>2</v>
      </c>
      <c r="G18" s="1"/>
    </row>
    <row r="19" spans="1:7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144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-(C20*(GenereltKravDrift2019+IndividueltKrav))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22</v>
      </c>
      <c r="C24" s="11">
        <f>'Fane 4. Ikke-påvirkelige omk.'!E16*(1+Prisudvikling2019)^2</f>
        <v>11140311.702492908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4"/>
      <c r="F25" s="13"/>
      <c r="G25" s="1"/>
    </row>
    <row r="26" spans="1:7" ht="15" customHeight="1" x14ac:dyDescent="0.25">
      <c r="A26" s="1"/>
      <c r="B26" s="29" t="s">
        <v>80</v>
      </c>
      <c r="C26" s="17">
        <f>SUM(C24:C25)</f>
        <v>11140311.702492908</v>
      </c>
      <c r="D26" s="18" t="s">
        <v>2</v>
      </c>
      <c r="E26" s="17">
        <f>C26</f>
        <v>11140311.702492908</v>
      </c>
      <c r="F26" s="18" t="s">
        <v>2</v>
      </c>
      <c r="G26" s="1"/>
    </row>
    <row r="27" spans="1:7" x14ac:dyDescent="0.25">
      <c r="A27" s="1"/>
      <c r="B27" s="39" t="s">
        <v>68</v>
      </c>
      <c r="C27" s="40"/>
      <c r="D27" s="41"/>
      <c r="E27" s="20">
        <f>SUM(E18,E22,E26)</f>
        <v>149721840.84428155</v>
      </c>
      <c r="F27" s="21" t="s">
        <v>2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90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2021'!E18</f>
        <v>138581529.14178866</v>
      </c>
      <c r="D8" s="8" t="s">
        <v>2</v>
      </c>
      <c r="E8" s="9"/>
      <c r="F8" s="10"/>
      <c r="G8" s="1"/>
    </row>
    <row r="9" spans="1:7" ht="15" customHeight="1" x14ac:dyDescent="0.25">
      <c r="A9" s="1"/>
      <c r="B9" s="46" t="s">
        <v>37</v>
      </c>
      <c r="C9" s="11">
        <f>C8*Prisudvikling2019</f>
        <v>2342027.8424962279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6" t="s">
        <v>13</v>
      </c>
      <c r="C10" s="11">
        <f>-SUM(C8:C9)*IndividueltKrav</f>
        <v>0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61</v>
      </c>
      <c r="C11" s="11">
        <f>('Fane 2.3. Økonomisk ramme 2021'!C14/GenereltKravDrift2018-'Fane 2.3. Økonomisk ramme 2021'!C14)*(1+Prisudvikling2019)*GenereltKravDrift2019+('Fane 2.3. Økonomisk ramme 2021'!C16/GenereltKravDrift2019-'Fane 2.3. Økonomisk ramme 2021'!C16)*(1+Prisudvikling2019)*GenereltKravDrift2019</f>
        <v>-797929.52744492714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2021'!C15/GenereltKravAnlæg2018-'Fane 2.3. Økonomisk ramme 2021'!C15)*(1+Prisudvikling2019)*GenereltKravAnlæg2019+('Fane 2.3. Økonomisk ramme 2021'!C17/GenereltKravAnlæg2019-'Fane 2.3. Økonomisk ramme 2021'!C17)*(1+Prisudvikling2019)*GenereltKravAnlæg2019</f>
        <v>-882452.13681111054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139243175.32002884</v>
      </c>
      <c r="D13" s="18" t="s">
        <v>2</v>
      </c>
      <c r="E13" s="17">
        <f>C13</f>
        <v>139243175.32002884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6" t="s">
        <v>144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omk.'!E16*(1+Prisudvikling2019)^3</f>
        <v>11328582.970265036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29" t="s">
        <v>80</v>
      </c>
      <c r="C21" s="17">
        <f>SUM(C19:C20)</f>
        <v>11328582.970265036</v>
      </c>
      <c r="D21" s="18" t="s">
        <v>2</v>
      </c>
      <c r="E21" s="17">
        <f>C21</f>
        <v>11328582.970265036</v>
      </c>
      <c r="F21" s="18" t="s">
        <v>2</v>
      </c>
      <c r="G21" s="1"/>
    </row>
    <row r="22" spans="1:7" ht="15" customHeight="1" x14ac:dyDescent="0.25">
      <c r="A22" s="1"/>
      <c r="B22" s="39" t="s">
        <v>112</v>
      </c>
      <c r="C22" s="40"/>
      <c r="D22" s="40"/>
      <c r="E22" s="40"/>
      <c r="F22" s="41"/>
      <c r="G22" s="1"/>
    </row>
    <row r="23" spans="1:7" ht="15" customHeight="1" x14ac:dyDescent="0.25">
      <c r="A23" s="1"/>
      <c r="B23" s="29" t="s">
        <v>106</v>
      </c>
      <c r="C23" s="17">
        <f>'Fane 7. Kontrol af ØR2017'!G22</f>
        <v>0</v>
      </c>
      <c r="D23" s="18" t="s">
        <v>2</v>
      </c>
      <c r="E23" s="17">
        <f>C23</f>
        <v>0</v>
      </c>
      <c r="F23" s="18" t="s">
        <v>2</v>
      </c>
      <c r="G23" s="1"/>
    </row>
    <row r="24" spans="1:7" x14ac:dyDescent="0.25">
      <c r="A24" s="1"/>
      <c r="B24" s="39" t="s">
        <v>78</v>
      </c>
      <c r="C24" s="40"/>
      <c r="D24" s="41"/>
      <c r="E24" s="20">
        <f>SUM(E13,E17,E21,E23)</f>
        <v>150571758.29029387</v>
      </c>
      <c r="F24" s="21" t="s">
        <v>2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91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140533336.35091147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0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2621489.8659515497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0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137911846.48495993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100</v>
      </c>
      <c r="C3" s="87"/>
      <c r="D3" s="87"/>
      <c r="E3" s="87"/>
      <c r="F3" s="87"/>
      <c r="G3" s="1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109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93" t="s">
        <v>139</v>
      </c>
      <c r="C10" s="94"/>
      <c r="D10" s="95"/>
      <c r="E10" s="11">
        <v>1101000</v>
      </c>
      <c r="F10" s="22" t="s">
        <v>2</v>
      </c>
      <c r="G10" s="1"/>
      <c r="H10" s="1"/>
    </row>
    <row r="11" spans="1:8" x14ac:dyDescent="0.25">
      <c r="A11" s="1"/>
      <c r="B11" s="93" t="s">
        <v>140</v>
      </c>
      <c r="C11" s="94"/>
      <c r="D11" s="95"/>
      <c r="E11" s="11">
        <v>73000</v>
      </c>
      <c r="F11" s="22" t="s">
        <v>2</v>
      </c>
      <c r="G11" s="1"/>
      <c r="H11" s="1"/>
    </row>
    <row r="12" spans="1:8" x14ac:dyDescent="0.25">
      <c r="A12" s="1"/>
      <c r="B12" s="93" t="s">
        <v>141</v>
      </c>
      <c r="C12" s="94"/>
      <c r="D12" s="95"/>
      <c r="E12" s="11">
        <v>1077000</v>
      </c>
      <c r="F12" s="22" t="s">
        <v>2</v>
      </c>
      <c r="G12" s="1"/>
      <c r="H12" s="1"/>
    </row>
    <row r="13" spans="1:8" x14ac:dyDescent="0.25">
      <c r="A13" s="1"/>
      <c r="B13" s="93" t="s">
        <v>142</v>
      </c>
      <c r="C13" s="94"/>
      <c r="D13" s="95"/>
      <c r="E13" s="11">
        <v>7818000</v>
      </c>
      <c r="F13" s="22" t="s">
        <v>2</v>
      </c>
      <c r="G13" s="1"/>
      <c r="H13" s="1"/>
    </row>
    <row r="14" spans="1:8" x14ac:dyDescent="0.25">
      <c r="A14" s="1"/>
      <c r="B14" s="93" t="s">
        <v>143</v>
      </c>
      <c r="C14" s="94"/>
      <c r="D14" s="95"/>
      <c r="E14" s="11">
        <v>349000</v>
      </c>
      <c r="F14" s="22" t="s">
        <v>2</v>
      </c>
      <c r="G14" s="1"/>
      <c r="H14" s="1"/>
    </row>
    <row r="15" spans="1:8" x14ac:dyDescent="0.25">
      <c r="A15" s="1"/>
      <c r="B15" s="89" t="s">
        <v>123</v>
      </c>
      <c r="C15" s="90"/>
      <c r="D15" s="91"/>
      <c r="E15" s="20">
        <f>SUM(E10:E14)</f>
        <v>10418000</v>
      </c>
      <c r="F15" s="21" t="s">
        <v>2</v>
      </c>
      <c r="G15" s="1"/>
      <c r="H15" s="1"/>
    </row>
    <row r="16" spans="1:8" x14ac:dyDescent="0.25">
      <c r="A16" s="1"/>
      <c r="B16" s="89" t="s">
        <v>124</v>
      </c>
      <c r="C16" s="90"/>
      <c r="D16" s="91"/>
      <c r="E16" s="20">
        <f>E15*(1+Prisudvikling2019)^2</f>
        <v>10773103.884979997</v>
      </c>
      <c r="F16" s="21" t="s">
        <v>2</v>
      </c>
      <c r="G16" s="1"/>
      <c r="H16" s="1"/>
    </row>
    <row r="17" spans="1:8" x14ac:dyDescent="0.25">
      <c r="A17" s="1"/>
      <c r="B17" s="24"/>
      <c r="C17" s="23"/>
      <c r="D17" s="23"/>
      <c r="E17" s="23"/>
      <c r="F17" s="23"/>
      <c r="G17" s="1"/>
      <c r="H17" s="1"/>
    </row>
    <row r="18" spans="1:8" x14ac:dyDescent="0.25">
      <c r="A18" s="1"/>
      <c r="B18" s="23"/>
      <c r="C18" s="23"/>
      <c r="D18" s="23"/>
      <c r="E18" s="23"/>
      <c r="F18" s="23"/>
      <c r="G18" s="1"/>
      <c r="H18" s="1"/>
    </row>
    <row r="19" spans="1:8" x14ac:dyDescent="0.25">
      <c r="A19" s="1"/>
      <c r="B19" s="1"/>
      <c r="C19" s="1"/>
      <c r="D19" s="1"/>
      <c r="E19" s="23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</row>
  </sheetData>
  <sheetProtection password="DFE9" sheet="1" objects="1" scenarios="1"/>
  <mergeCells count="8">
    <mergeCell ref="B3:F4"/>
    <mergeCell ref="B15:D15"/>
    <mergeCell ref="B16:D16"/>
    <mergeCell ref="B10:D10"/>
    <mergeCell ref="B13:D13"/>
    <mergeCell ref="B14:D14"/>
    <mergeCell ref="B12:D12"/>
    <mergeCell ref="B11:D11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115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82</v>
      </c>
      <c r="C9" s="43"/>
      <c r="D9" s="43"/>
      <c r="E9" s="43"/>
      <c r="F9" s="44"/>
      <c r="G9" s="56">
        <v>807567.31393191672</v>
      </c>
      <c r="H9" s="22" t="s">
        <v>2</v>
      </c>
      <c r="I9" s="1"/>
    </row>
    <row r="10" spans="1:9" x14ac:dyDescent="0.25">
      <c r="A10" s="1"/>
      <c r="B10" s="42" t="s">
        <v>83</v>
      </c>
      <c r="C10" s="43"/>
      <c r="D10" s="43"/>
      <c r="E10" s="43"/>
      <c r="F10" s="44"/>
      <c r="G10" s="56">
        <f>G9/GenereltKravDrift2018</f>
        <v>40378365.696595833</v>
      </c>
      <c r="H10" s="22" t="s">
        <v>2</v>
      </c>
      <c r="I10" s="1"/>
    </row>
    <row r="11" spans="1:9" x14ac:dyDescent="0.25">
      <c r="A11" s="1"/>
      <c r="B11" s="42" t="s">
        <v>84</v>
      </c>
      <c r="C11" s="43"/>
      <c r="D11" s="43"/>
      <c r="E11" s="43"/>
      <c r="F11" s="44"/>
      <c r="G11" s="56">
        <v>1778799.9424388867</v>
      </c>
      <c r="H11" s="22" t="s">
        <v>2</v>
      </c>
      <c r="I11" s="1"/>
    </row>
    <row r="12" spans="1:9" x14ac:dyDescent="0.25">
      <c r="A12" s="1"/>
      <c r="B12" s="42" t="s">
        <v>85</v>
      </c>
      <c r="C12" s="43"/>
      <c r="D12" s="43"/>
      <c r="E12" s="43"/>
      <c r="F12" s="44"/>
      <c r="G12" s="56">
        <f>G11/GenereltKravAnlæg2018</f>
        <v>100497171.88920264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6" t="s">
        <v>134</v>
      </c>
      <c r="C17" s="97"/>
      <c r="D17" s="97"/>
      <c r="E17" s="97"/>
      <c r="F17" s="98"/>
      <c r="G17" s="57">
        <v>0.02</v>
      </c>
      <c r="H17" s="22"/>
      <c r="I17" s="1"/>
    </row>
    <row r="18" spans="1:9" x14ac:dyDescent="0.25">
      <c r="A18" s="1"/>
      <c r="B18" s="96" t="s">
        <v>86</v>
      </c>
      <c r="C18" s="97"/>
      <c r="D18" s="97"/>
      <c r="E18" s="97"/>
      <c r="F18" s="98"/>
      <c r="G18" s="57">
        <v>0.02</v>
      </c>
      <c r="H18" s="22"/>
      <c r="I18" s="1"/>
    </row>
    <row r="19" spans="1:9" x14ac:dyDescent="0.25">
      <c r="A19" s="1"/>
      <c r="B19" s="96" t="s">
        <v>135</v>
      </c>
      <c r="C19" s="97"/>
      <c r="D19" s="97"/>
      <c r="E19" s="97"/>
      <c r="F19" s="98"/>
      <c r="G19" s="57">
        <v>1.77E-2</v>
      </c>
      <c r="H19" s="22"/>
      <c r="I19" s="1"/>
    </row>
    <row r="20" spans="1:9" x14ac:dyDescent="0.25">
      <c r="A20" s="1"/>
      <c r="B20" s="96" t="s">
        <v>127</v>
      </c>
      <c r="C20" s="97"/>
      <c r="D20" s="97"/>
      <c r="E20" s="97"/>
      <c r="F20" s="98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-13372000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-13372000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0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0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0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2018-08-27T13:13:42Z</dcterms:modified>
</cp:coreProperties>
</file>