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anø Vand AS (V04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31" i="2" l="1"/>
  <c r="E30" i="2"/>
  <c r="E9" i="40" l="1"/>
  <c r="E11" i="2" l="1"/>
  <c r="E10" i="2"/>
  <c r="E10" i="40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2" i="37" s="1"/>
  <c r="C13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2" i="37" s="1"/>
  <c r="E13" i="37" s="1"/>
  <c r="E12" i="2" s="1"/>
  <c r="E15" i="2" s="1"/>
  <c r="E25" i="2"/>
  <c r="E16" i="2" l="1"/>
  <c r="E17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<sst xmlns="http://schemas.openxmlformats.org/spreadsheetml/2006/main" count="431" uniqueCount="168">
  <si>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</si>
  <si>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</si>
  <si>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</si>
  <si>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</si>
  <si>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</si>
  <si>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</si>
  <si>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</si>
  <si>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</si>
  <si>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</si>
  <si>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</si>
  <si>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</si>
  <si>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</si>
  <si>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</si>
  <si>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</si>
  <si>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</si>
  <si>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</si>
  <si>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</si>
  <si>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</si>
  <si>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</si>
  <si>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</si>
  <si>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</si>
  <si>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</si>
  <si>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</si>
  <si>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</si>
  <si>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</si>
  <si>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</si>
  <si>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</si>
  <si>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</si>
  <si>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</si>
  <si>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</si>
  <si>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</si>
  <si>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</si>
  <si>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</si>
  <si>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</si>
  <si>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</si>
  <si>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</si>
  <si>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</si>
  <si>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</si>
  <si>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</si>
  <si>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</si>
  <si>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</si>
  <si>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</si>
  <si>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</si>
  <si>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</si>
  <si>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</si>
  <si>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</si>
  <si>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</si>
  <si>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</si>
  <si>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</si>
  <si>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</si>
  <si>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</si>
  <si>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</si>
  <si>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</si>
  <si>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</si>
  <si>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</si>
  <si>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</si>
  <si>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</si>
  <si>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</si>
  <si>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</si>
  <si>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</si>
  <si>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</si>
  <si>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</si>
  <si>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</si>
  <si>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</si>
  <si>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</si>
  <si>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</si>
  <si>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</si>
  <si>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</si>
  <si>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</si>
  <si>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</si>
  <si>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</si>
  <si>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</si>
  <si>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</si>
  <si>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</si>
  <si>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</si>
  <si>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</si>
  <si>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</si>
  <si>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</si>
  <si>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</si>
  <si>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</si>
  <si>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</si>
  <si>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</si>
  <si>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</si>
  <si>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</si>
  <si>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</si>
  <si>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</si>
  <si>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</si>
  <si>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</si>
  <si>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</si>
  <si>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</si>
  <si>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</si>
  <si>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</si>
  <si>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</si>
  <si>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</si>
  <si>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</si>
  <si>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</si>
  <si>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</si>
  <si>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</si>
  <si>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</si>
  <si>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</si>
  <si>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</si>
  <si>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</si>
  <si>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</si>
  <si>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</si>
  <si>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</si>
  <si>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</si>
  <si>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</si>
  <si>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</si>
  <si>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</si>
  <si>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</si>
  <si>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</si>
  <si>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</si>
  <si>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</si>
  <si>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</si>
  <si>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</si>
  <si>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</si>
  <si>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</si>
  <si>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</si>
  <si>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</si>
  <si>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</si>
  <si>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</si>
  <si>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</si>
  <si>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</si>
  <si>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</si>
  <si>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</si>
  <si>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</si>
  <si>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</si>
  <si>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</si>
  <si>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</si>
  <si>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</si>
  <si>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</si>
  <si>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</si>
  <si>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</si>
  <si>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</si>
  <si>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</si>
  <si>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</si>
  <si>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</si>
  <si>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</si>
  <si>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</si>
  <si>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</si>
  <si>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</si>
  <si>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</si>
  <si>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</si>
  <si>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</si>
  <si>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</si>
  <si>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</si>
  <si>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</si>
  <si>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</si>
  <si>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</si>
  <si>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</si>
  <si>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Nye tilslutninger</t>
  </si>
  <si>
    <t>Ingen engangstillæg</t>
  </si>
  <si>
    <t>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</si>
  <si>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</si>
  <si>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</si>
  <si>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</si>
  <si>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</si>
  <si>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</si>
  <si>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</si>
  <si>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</si>
  <si>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</si>
  <si>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</si>
  <si>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prislofterne for 2011-2015</t>
  </si>
  <si>
    <t>Korrektion af budgetterede omkostninger i prisloft 2011-2015</t>
  </si>
  <si>
    <t>Korrektion af prisudvikling, generelt og individuelt effektiviseringskrav i prisloft 2015</t>
  </si>
  <si>
    <t>Korrektion for overholdelse af indtægtsrammen i prisloft 2011-2015</t>
  </si>
  <si>
    <t>Korrektioner i alt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</si>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</sst>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116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49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117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48</v>
      </c>
      <c r="D15" s="51" t="s">
        <v>75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50</v>
      </c>
      <c r="D16" s="51" t="s">
        <v>76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139</v>
      </c>
      <c r="D17" s="51" t="s">
        <v>57</v>
      </c>
      <c r="E17" s="52"/>
      <c r="F17" s="52"/>
      <c r="G17" s="53"/>
      <c r="H17" s="1"/>
      <c r="I17" s="1"/>
    </row>
    <row r="18" spans="1:9" x14ac:dyDescent="0.25">
      <c r="A18" s="1"/>
      <c r="B18" s="1"/>
      <c r="C18" s="6" t="s">
        <v>7</v>
      </c>
      <c r="D18" s="63" t="s">
        <v>16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8</v>
      </c>
      <c r="D19" s="55" t="s">
        <v>97</v>
      </c>
      <c r="E19" s="56"/>
      <c r="F19" s="56"/>
      <c r="G19" s="57"/>
      <c r="H19" s="1"/>
      <c r="I19" s="1"/>
    </row>
    <row r="20" spans="1:9" x14ac:dyDescent="0.25">
      <c r="A20" s="1"/>
      <c r="B20" s="1"/>
      <c r="C20" s="6" t="s">
        <v>123</v>
      </c>
      <c r="D20" s="55" t="s">
        <v>152</v>
      </c>
      <c r="E20" s="56"/>
      <c r="F20" s="56"/>
      <c r="G20" s="57"/>
      <c r="H20" s="1"/>
      <c r="I20" s="1"/>
    </row>
    <row r="21" spans="1:9" x14ac:dyDescent="0.25">
      <c r="A21" s="1"/>
      <c r="B21" s="1"/>
      <c r="C21" s="6" t="s">
        <v>82</v>
      </c>
      <c r="D21" s="55" t="s">
        <v>51</v>
      </c>
      <c r="E21" s="56"/>
      <c r="F21" s="56"/>
      <c r="G21" s="57"/>
      <c r="H21" s="1"/>
      <c r="I21" s="1"/>
    </row>
    <row r="22" spans="1:9" x14ac:dyDescent="0.25">
      <c r="A22" s="1"/>
      <c r="B22" s="1"/>
      <c r="C22" s="6" t="s">
        <v>124</v>
      </c>
      <c r="D22" s="55" t="s">
        <v>83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125</v>
      </c>
      <c r="D23" s="55" t="s">
        <v>84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52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96</v>
      </c>
      <c r="D25" s="55" t="s">
        <v>53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126</v>
      </c>
      <c r="D26" s="66" t="s">
        <v>10</v>
      </c>
      <c r="E26" s="67"/>
      <c r="F26" s="67"/>
      <c r="G26" s="68"/>
      <c r="H26" s="1"/>
      <c r="I26" s="1"/>
    </row>
    <row r="27" spans="1:9" x14ac:dyDescent="0.25">
      <c r="A27" s="1"/>
      <c r="B27" s="1"/>
      <c r="C27" s="6" t="s">
        <v>21</v>
      </c>
      <c r="D27" s="60" t="s">
        <v>127</v>
      </c>
      <c r="E27" s="61"/>
      <c r="F27" s="61"/>
      <c r="G27" s="62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syiJJyf1JbsaXx+XyWIBTP4VCYINjrMP9WWlq9Ihsc6TYVYPUurIx4UV0RCWXiUrPLzfGn+OMYj5NqIyFOgplQ==" saltValue="wLwXnRZHoLaeD51KRlqFMg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155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0" t="s">
        <v>156</v>
      </c>
      <c r="C8" s="81"/>
      <c r="D8" s="81"/>
      <c r="E8" s="81"/>
      <c r="F8" s="81"/>
      <c r="G8" s="81"/>
      <c r="H8" s="82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9" t="s">
        <v>2</v>
      </c>
      <c r="F9" s="39" t="s">
        <v>15</v>
      </c>
      <c r="G9" s="39" t="s">
        <v>41</v>
      </c>
      <c r="H9" s="48"/>
      <c r="I9" s="1"/>
    </row>
    <row r="10" spans="1:9" x14ac:dyDescent="0.25">
      <c r="A10" s="1"/>
      <c r="B10" s="34" t="s">
        <v>160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80" t="s">
        <v>157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YAsB12CPI9q8O+Ww0k0g14YGZbAQxzo6DifRWZnzYQunSRGAalckbqjIzMlVNkIc/NUUQ+VWTkCOH92d2f07jA==" saltValue="s1b+vEaqkFlwEfctrkrHy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120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9" t="s">
        <v>79</v>
      </c>
      <c r="C8" s="24"/>
      <c r="D8" s="24"/>
      <c r="E8" s="24"/>
      <c r="F8" s="50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8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36" t="s">
        <v>150</v>
      </c>
      <c r="C11" s="21">
        <v>30964</v>
      </c>
      <c r="D11" s="12" t="s">
        <v>3</v>
      </c>
      <c r="E11" s="8">
        <v>16487</v>
      </c>
      <c r="F11" s="12" t="s">
        <v>3</v>
      </c>
      <c r="G11" s="1"/>
    </row>
    <row r="12" spans="1:7" x14ac:dyDescent="0.25">
      <c r="A12" s="1"/>
      <c r="B12" s="49" t="s">
        <v>54</v>
      </c>
      <c r="C12" s="10">
        <f>SUM(C10:C11)</f>
        <v>30964</v>
      </c>
      <c r="D12" s="11" t="s">
        <v>3</v>
      </c>
      <c r="E12" s="10">
        <f>SUM(E10:E11)</f>
        <v>16487</v>
      </c>
      <c r="F12" s="11" t="s">
        <v>3</v>
      </c>
      <c r="G12" s="1"/>
    </row>
    <row r="13" spans="1:7" x14ac:dyDescent="0.25">
      <c r="A13" s="1"/>
      <c r="B13" s="49" t="s">
        <v>63</v>
      </c>
      <c r="C13" s="10">
        <f>C12*(1+'Fane 12. Nøgletal'!C12)</f>
        <v>31573.990800000003</v>
      </c>
      <c r="D13" s="11" t="s">
        <v>3</v>
      </c>
      <c r="E13" s="10">
        <f>E12*(1+'Fane 12. Nøgletal'!C12)</f>
        <v>16811.793900000001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m7NdoHGQd7XtyQ1k+cvB7deGpx5/kDtulpCJYYeQo8i3+IHHJdzxwtwwRgtZJwrI6ACTbnGwdH0HQsBUI5eHZw==" saltValue="zOa5Hxf4VmP4At41v/CD6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121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102</v>
      </c>
      <c r="C8" s="81"/>
      <c r="D8" s="81"/>
      <c r="E8" s="81"/>
      <c r="F8" s="82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8"/>
      <c r="G9" s="1"/>
    </row>
    <row r="10" spans="1:7" x14ac:dyDescent="0.25">
      <c r="A10" s="1"/>
      <c r="B10" s="22" t="s">
        <v>151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9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9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0" t="s">
        <v>103</v>
      </c>
      <c r="C15" s="81"/>
      <c r="D15" s="81"/>
      <c r="E15" s="81"/>
      <c r="F15" s="82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8"/>
      <c r="G16" s="1"/>
    </row>
    <row r="17" spans="1:7" x14ac:dyDescent="0.25">
      <c r="A17" s="1"/>
      <c r="B17" s="22" t="s">
        <v>151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9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9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0" t="s">
        <v>104</v>
      </c>
      <c r="C22" s="81"/>
      <c r="D22" s="81"/>
      <c r="E22" s="81"/>
      <c r="F22" s="82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8"/>
      <c r="G23" s="1"/>
    </row>
    <row r="24" spans="1:7" x14ac:dyDescent="0.25">
      <c r="A24" s="1"/>
      <c r="B24" s="22" t="s">
        <v>151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9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9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0" t="s">
        <v>105</v>
      </c>
      <c r="C29" s="81"/>
      <c r="D29" s="81"/>
      <c r="E29" s="81"/>
      <c r="F29" s="82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8"/>
      <c r="G30" s="1"/>
    </row>
    <row r="31" spans="1:7" x14ac:dyDescent="0.25">
      <c r="A31" s="1"/>
      <c r="B31" s="22" t="s">
        <v>151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9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9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gD5kk+xQZvqlxHHvQqANIzEZuNmbG3vCXWCBlrgrIMeHlqgEjpxtqIlwajI+6IrHVyZRKzwlFTFsgu6IYsIQkQ==" saltValue="4wBMjln95i/3FaJaBOmyX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134</v>
      </c>
      <c r="C3" s="74"/>
      <c r="D3" s="74"/>
      <c r="E3" s="74"/>
      <c r="F3" s="74"/>
      <c r="G3" s="1"/>
    </row>
    <row r="4" spans="1:7" ht="25.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32</v>
      </c>
      <c r="C8" s="81"/>
      <c r="D8" s="81"/>
      <c r="E8" s="81"/>
      <c r="F8" s="82"/>
      <c r="G8" s="1"/>
    </row>
    <row r="9" spans="1:7" ht="15" customHeight="1" x14ac:dyDescent="0.25">
      <c r="A9" s="1"/>
      <c r="B9" s="47" t="s">
        <v>33</v>
      </c>
      <c r="C9" s="92" t="s">
        <v>15</v>
      </c>
      <c r="D9" s="93"/>
      <c r="E9" s="92" t="s">
        <v>42</v>
      </c>
      <c r="F9" s="93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jBFjQpAv45uMoR+JznFqbrcQ3c/FY8+VsccA0WsXpDxuV1RgBTiqe/gSX7xfF5PBZQ44s1cP6ELnAM6qIa5rHQ==" saltValue="sAlTmsIeZMvcnsmQFr0gL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135</v>
      </c>
      <c r="C3" s="74"/>
      <c r="D3" s="74"/>
      <c r="E3" s="74"/>
      <c r="F3" s="74"/>
      <c r="G3" s="1"/>
    </row>
    <row r="4" spans="1:7" ht="25.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91</v>
      </c>
      <c r="C8" s="81"/>
      <c r="D8" s="81"/>
      <c r="E8" s="81"/>
      <c r="F8" s="82"/>
      <c r="G8" s="1"/>
    </row>
    <row r="9" spans="1:7" ht="15" customHeight="1" x14ac:dyDescent="0.25">
      <c r="A9" s="1"/>
      <c r="B9" s="47" t="s">
        <v>25</v>
      </c>
      <c r="C9" s="47" t="s">
        <v>15</v>
      </c>
      <c r="D9" s="48"/>
      <c r="E9" s="47" t="s">
        <v>42</v>
      </c>
      <c r="F9" s="48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9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9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92</v>
      </c>
      <c r="C14" s="81"/>
      <c r="D14" s="81"/>
      <c r="E14" s="81"/>
      <c r="F14" s="82"/>
      <c r="G14" s="1"/>
    </row>
    <row r="15" spans="1:7" ht="26.25" x14ac:dyDescent="0.25">
      <c r="A15" s="1"/>
      <c r="B15" s="47" t="s">
        <v>25</v>
      </c>
      <c r="C15" s="47" t="s">
        <v>15</v>
      </c>
      <c r="D15" s="48"/>
      <c r="E15" s="47" t="s">
        <v>42</v>
      </c>
      <c r="F15" s="48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9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9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0" t="s">
        <v>90</v>
      </c>
      <c r="C20" s="81"/>
      <c r="D20" s="81"/>
      <c r="E20" s="81"/>
      <c r="F20" s="82"/>
      <c r="G20" s="1"/>
    </row>
    <row r="21" spans="1:7" ht="26.25" x14ac:dyDescent="0.25">
      <c r="A21" s="1"/>
      <c r="B21" s="47" t="s">
        <v>25</v>
      </c>
      <c r="C21" s="47" t="s">
        <v>15</v>
      </c>
      <c r="D21" s="48"/>
      <c r="E21" s="47" t="s">
        <v>42</v>
      </c>
      <c r="F21" s="48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9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9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0" t="s">
        <v>93</v>
      </c>
      <c r="C26" s="81"/>
      <c r="D26" s="81"/>
      <c r="E26" s="81"/>
      <c r="F26" s="82"/>
      <c r="G26" s="1"/>
    </row>
    <row r="27" spans="1:7" ht="26.25" x14ac:dyDescent="0.25">
      <c r="A27" s="1"/>
      <c r="B27" s="47" t="s">
        <v>25</v>
      </c>
      <c r="C27" s="47" t="s">
        <v>15</v>
      </c>
      <c r="D27" s="48"/>
      <c r="E27" s="47" t="s">
        <v>42</v>
      </c>
      <c r="F27" s="48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9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9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gHxsVvj5/3gYq3UY9turNkzvXLGky0a+FARrheUp0ow78CLgTseruNKi2T4oruO1IJQwIKhGlHoVMvNg/wu4fQ==" saltValue="eL/wC1sODf0Vh4bSKSZfS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136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0" t="s">
        <v>17</v>
      </c>
      <c r="C8" s="81"/>
      <c r="D8" s="81"/>
      <c r="E8" s="81"/>
      <c r="F8" s="81"/>
      <c r="G8" s="81"/>
      <c r="H8" s="82"/>
      <c r="I8" s="1"/>
    </row>
    <row r="9" spans="1:9" x14ac:dyDescent="0.25">
      <c r="A9" s="1"/>
      <c r="B9" s="94" t="s">
        <v>11</v>
      </c>
      <c r="C9" s="95"/>
      <c r="D9" s="95"/>
      <c r="E9" s="95"/>
      <c r="F9" s="96"/>
      <c r="G9" s="8">
        <v>5716014</v>
      </c>
      <c r="H9" s="12" t="s">
        <v>3</v>
      </c>
      <c r="I9" s="1"/>
    </row>
    <row r="10" spans="1:9" x14ac:dyDescent="0.25">
      <c r="A10" s="1"/>
      <c r="B10" s="94" t="s">
        <v>77</v>
      </c>
      <c r="C10" s="95"/>
      <c r="D10" s="95"/>
      <c r="E10" s="95"/>
      <c r="F10" s="96"/>
      <c r="G10" s="8">
        <v>0</v>
      </c>
      <c r="H10" s="12" t="s">
        <v>3</v>
      </c>
      <c r="I10" s="1"/>
    </row>
    <row r="11" spans="1:9" x14ac:dyDescent="0.25">
      <c r="A11" s="1"/>
      <c r="B11" s="94" t="s">
        <v>69</v>
      </c>
      <c r="C11" s="95"/>
      <c r="D11" s="95"/>
      <c r="E11" s="95"/>
      <c r="F11" s="96"/>
      <c r="G11" s="8">
        <v>-5716014.333333333</v>
      </c>
      <c r="H11" s="12" t="s">
        <v>3</v>
      </c>
      <c r="I11" s="1"/>
    </row>
    <row r="12" spans="1:9" x14ac:dyDescent="0.25">
      <c r="A12" s="1"/>
      <c r="B12" s="97" t="s">
        <v>14</v>
      </c>
      <c r="C12" s="98"/>
      <c r="D12" s="98"/>
      <c r="E12" s="98"/>
      <c r="F12" s="99"/>
      <c r="G12" s="17">
        <f>(G9+G10)+G11</f>
        <v>-0.33333333302289248</v>
      </c>
      <c r="H12" s="16" t="s">
        <v>3</v>
      </c>
      <c r="I12" s="1"/>
    </row>
    <row r="13" spans="1:9" x14ac:dyDescent="0.25">
      <c r="A13" s="1"/>
      <c r="B13" s="94" t="s">
        <v>12</v>
      </c>
      <c r="C13" s="95"/>
      <c r="D13" s="95"/>
      <c r="E13" s="95"/>
      <c r="F13" s="96"/>
      <c r="G13" s="8">
        <v>0</v>
      </c>
      <c r="H13" s="12" t="s">
        <v>27</v>
      </c>
      <c r="I13" s="1"/>
    </row>
    <row r="14" spans="1:9" x14ac:dyDescent="0.25">
      <c r="A14" s="1"/>
      <c r="B14" s="80" t="s">
        <v>78</v>
      </c>
      <c r="C14" s="81"/>
      <c r="D14" s="81"/>
      <c r="E14" s="81"/>
      <c r="F14" s="82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RyRlMz8RERQuQInBQUY8aL6nN2A+U4ZZR6KKLJ+lBga+P1k/uZ6YoBThZnWUWJt/IjgDh2AfGpFknHC9EWQSA==" saltValue="BPaLsiTsyhQ6zarkjXFmv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4" t="s">
        <v>137</v>
      </c>
      <c r="C3" s="74"/>
      <c r="D3" s="1"/>
    </row>
    <row r="4" spans="1:4" ht="25.5" customHeight="1" x14ac:dyDescent="0.25">
      <c r="A4" s="1"/>
      <c r="B4" s="74"/>
      <c r="C4" s="7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9" t="s">
        <v>20</v>
      </c>
      <c r="C8" s="50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9"/>
      <c r="C13" s="50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9" t="s">
        <v>115</v>
      </c>
      <c r="C16" s="50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100"/>
      <c r="C18" s="10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WfyXn4IcgFlxRJcMSJTYgAHhHgMBchTLqT5gsJpnlQ17Y/riS+aY97srKYIum2wh7/6GiHgaSNrRSwwUFOE7pA==" saltValue="+oLiN7MCj7J+ehyc/QvxO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56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19</v>
      </c>
      <c r="C8" s="45"/>
      <c r="D8" s="45"/>
      <c r="E8" s="45"/>
      <c r="F8" s="45"/>
      <c r="G8" s="1"/>
    </row>
    <row r="9" spans="1:7" x14ac:dyDescent="0.25">
      <c r="A9" s="1"/>
      <c r="B9" s="41" t="s">
        <v>35</v>
      </c>
      <c r="C9" s="41"/>
      <c r="D9" s="41"/>
      <c r="E9" s="7">
        <f>'Fane 3. Omkostninger i ØR2019'!E15</f>
        <v>4546968.422814969</v>
      </c>
      <c r="F9" s="41" t="s">
        <v>3</v>
      </c>
      <c r="G9" s="1"/>
    </row>
    <row r="10" spans="1:7" x14ac:dyDescent="0.25">
      <c r="A10" s="1"/>
      <c r="B10" s="43" t="s">
        <v>140</v>
      </c>
      <c r="C10" s="41"/>
      <c r="D10" s="41"/>
      <c r="E10" s="7">
        <f>'Fane 3. Omkostninger i ØR2019'!E10*(1-'Fane 12. Nøgletal'!C17)*(1+'Fane 12. Nøgletal'!C10)</f>
        <v>0</v>
      </c>
      <c r="F10" s="41" t="s">
        <v>3</v>
      </c>
      <c r="G10" s="1"/>
    </row>
    <row r="11" spans="1:7" x14ac:dyDescent="0.25">
      <c r="A11" s="1"/>
      <c r="B11" s="43" t="s">
        <v>143</v>
      </c>
      <c r="C11" s="41"/>
      <c r="D11" s="41"/>
      <c r="E11" s="7">
        <f>('Fane 3. Omkostninger i ØR2019'!E11+'Fane 3. Omkostninger i ØR2019'!E12)*(1-'Fane 12. Nøgletal'!C17)*(1+'Fane 12. Nøgletal'!C11)</f>
        <v>720976.30378826533</v>
      </c>
      <c r="F11" s="41" t="s">
        <v>3</v>
      </c>
      <c r="G11" s="1"/>
    </row>
    <row r="12" spans="1:7" ht="17.100000000000001" customHeight="1" x14ac:dyDescent="0.25">
      <c r="A12" s="1"/>
      <c r="B12" s="31" t="s">
        <v>141</v>
      </c>
      <c r="C12" s="41"/>
      <c r="D12" s="41"/>
      <c r="E12" s="7">
        <f>'Fane 8.1. Varige tillæg'!C13+'Fane 8.1. Varige tillæg'!E13</f>
        <v>48385.784700000004</v>
      </c>
      <c r="F12" s="41" t="s">
        <v>3</v>
      </c>
      <c r="G12" s="1"/>
    </row>
    <row r="13" spans="1:7" ht="17.100000000000001" customHeight="1" x14ac:dyDescent="0.25">
      <c r="A13" s="1"/>
      <c r="B13" s="31" t="s">
        <v>144</v>
      </c>
      <c r="C13" s="41"/>
      <c r="D13" s="41"/>
      <c r="E13" s="8">
        <f>-('Fane 10. Bortfald'!C12+'Fane 10. Bortfald'!E12)</f>
        <v>0</v>
      </c>
      <c r="F13" s="41" t="s">
        <v>3</v>
      </c>
      <c r="G13" s="1"/>
    </row>
    <row r="14" spans="1:7" ht="17.100000000000001" customHeight="1" x14ac:dyDescent="0.25">
      <c r="A14" s="1"/>
      <c r="B14" s="31" t="s">
        <v>111</v>
      </c>
      <c r="C14" s="41"/>
      <c r="D14" s="41"/>
      <c r="E14" s="8">
        <f>'Fane 9. Tilknyttet aktivitet'!C12+'Fane 9. Tilknyttet aktivitet'!E12</f>
        <v>0</v>
      </c>
      <c r="F14" s="41" t="s">
        <v>3</v>
      </c>
      <c r="G14" s="1"/>
    </row>
    <row r="15" spans="1:7" ht="17.100000000000001" customHeight="1" x14ac:dyDescent="0.25">
      <c r="A15" s="1"/>
      <c r="B15" s="31" t="s">
        <v>26</v>
      </c>
      <c r="C15" s="41"/>
      <c r="D15" s="41"/>
      <c r="E15" s="8">
        <f>(E9-SUM(E10:E11))*'Fane 12. Nøgletal'!C9+E10*'Fane 12. Nøgletal'!C10+E11*'Fane 12. Nøgletal'!C11+SUM(E12:E14)*'Fane 12. Nøgletal'!C12</f>
        <v>61727.799404250814</v>
      </c>
      <c r="F15" s="41" t="s">
        <v>3</v>
      </c>
      <c r="G15" s="1"/>
    </row>
    <row r="16" spans="1:7" ht="17.100000000000001" customHeight="1" x14ac:dyDescent="0.25">
      <c r="A16" s="1"/>
      <c r="B16" s="31" t="s">
        <v>115</v>
      </c>
      <c r="C16" s="41"/>
      <c r="D16" s="41"/>
      <c r="E16" s="8">
        <f>-SUM(E9,E12:E15)*'Fane 12. Nøgletal'!C17</f>
        <v>-79170.394117626725</v>
      </c>
      <c r="F16" s="41" t="s">
        <v>3</v>
      </c>
      <c r="G16" s="1"/>
    </row>
    <row r="17" spans="1:7" ht="17.100000000000001" customHeight="1" x14ac:dyDescent="0.25">
      <c r="A17" s="1"/>
      <c r="B17" s="46" t="s">
        <v>28</v>
      </c>
      <c r="C17" s="44"/>
      <c r="D17" s="44"/>
      <c r="E17" s="9">
        <f>SUM(E9,E12:E16)</f>
        <v>4577911.6128015928</v>
      </c>
      <c r="F17" s="39" t="s">
        <v>3</v>
      </c>
      <c r="G17" s="1"/>
    </row>
    <row r="18" spans="1:7" ht="15" customHeight="1" x14ac:dyDescent="0.25">
      <c r="A18" s="1"/>
      <c r="B18" s="45" t="s">
        <v>16</v>
      </c>
      <c r="C18" s="45"/>
      <c r="D18" s="45"/>
      <c r="E18" s="45"/>
      <c r="F18" s="45"/>
      <c r="G18" s="1"/>
    </row>
    <row r="19" spans="1:7" ht="15" customHeight="1" x14ac:dyDescent="0.25">
      <c r="A19" s="1"/>
      <c r="B19" s="39" t="s">
        <v>16</v>
      </c>
      <c r="C19" s="39"/>
      <c r="D19" s="39"/>
      <c r="E19" s="9">
        <f>'Fane 4. Ikke-påvirkelige omk.'!C14</f>
        <v>1263620.1527700301</v>
      </c>
      <c r="F19" s="39" t="s">
        <v>3</v>
      </c>
      <c r="G19" s="1"/>
    </row>
    <row r="20" spans="1:7" ht="15" customHeight="1" x14ac:dyDescent="0.25">
      <c r="A20" s="1"/>
      <c r="B20" s="45" t="s">
        <v>84</v>
      </c>
      <c r="C20" s="45"/>
      <c r="D20" s="45"/>
      <c r="E20" s="45"/>
      <c r="F20" s="45"/>
      <c r="G20" s="1"/>
    </row>
    <row r="21" spans="1:7" ht="15" customHeight="1" x14ac:dyDescent="0.25">
      <c r="A21" s="1"/>
      <c r="B21" s="31" t="s">
        <v>80</v>
      </c>
      <c r="C21" s="41"/>
      <c r="D21" s="41"/>
      <c r="E21" s="8">
        <f>'Fane 8.2. Engangstillæg'!C13</f>
        <v>0</v>
      </c>
      <c r="F21" s="41" t="s">
        <v>3</v>
      </c>
      <c r="G21" s="1"/>
    </row>
    <row r="22" spans="1:7" ht="15" customHeight="1" x14ac:dyDescent="0.25">
      <c r="A22" s="1"/>
      <c r="B22" s="31" t="s">
        <v>81</v>
      </c>
      <c r="C22" s="41"/>
      <c r="D22" s="41"/>
      <c r="E22" s="8">
        <f>'Fane 8.2. Engangstillæg'!E13</f>
        <v>0</v>
      </c>
      <c r="F22" s="41" t="s">
        <v>3</v>
      </c>
      <c r="G22" s="1"/>
    </row>
    <row r="23" spans="1:7" x14ac:dyDescent="0.25">
      <c r="A23" s="1"/>
      <c r="B23" s="46" t="s">
        <v>85</v>
      </c>
      <c r="C23" s="44"/>
      <c r="D23" s="44"/>
      <c r="E23" s="9">
        <f>SUM(E21:E22)</f>
        <v>0</v>
      </c>
      <c r="F23" s="39" t="s">
        <v>3</v>
      </c>
      <c r="G23" s="1"/>
    </row>
    <row r="24" spans="1:7" x14ac:dyDescent="0.25">
      <c r="A24" s="1"/>
      <c r="B24" s="45" t="s">
        <v>10</v>
      </c>
      <c r="C24" s="45"/>
      <c r="D24" s="45"/>
      <c r="E24" s="45"/>
      <c r="F24" s="45"/>
      <c r="G24" s="1"/>
    </row>
    <row r="25" spans="1:7" ht="15" customHeight="1" x14ac:dyDescent="0.25">
      <c r="A25" s="1"/>
      <c r="B25" s="39" t="s">
        <v>18</v>
      </c>
      <c r="C25" s="39"/>
      <c r="D25" s="39"/>
      <c r="E25" s="9">
        <f>'Fane 11. Hist. over-underdæk.'!G14</f>
        <v>0</v>
      </c>
      <c r="F25" s="39" t="s">
        <v>3</v>
      </c>
      <c r="G25" s="1"/>
    </row>
    <row r="26" spans="1:7" ht="15" customHeight="1" x14ac:dyDescent="0.25">
      <c r="A26" s="1"/>
      <c r="B26" s="49" t="s">
        <v>162</v>
      </c>
      <c r="C26" s="45"/>
      <c r="D26" s="45"/>
      <c r="E26" s="45"/>
      <c r="F26" s="45"/>
      <c r="G26" s="1"/>
    </row>
    <row r="27" spans="1:7" x14ac:dyDescent="0.25">
      <c r="A27" s="1"/>
      <c r="B27" s="37" t="s">
        <v>163</v>
      </c>
      <c r="C27" s="39"/>
      <c r="D27" s="39"/>
      <c r="E27" s="7">
        <v>-350117.43666666676</v>
      </c>
      <c r="F27" s="7" t="s">
        <v>3</v>
      </c>
      <c r="G27" s="1"/>
    </row>
    <row r="28" spans="1:7" ht="26.25" x14ac:dyDescent="0.25">
      <c r="A28" s="1"/>
      <c r="B28" s="37" t="s">
        <v>164</v>
      </c>
      <c r="C28" s="39"/>
      <c r="D28" s="39"/>
      <c r="E28" s="7">
        <v>-13048.25</v>
      </c>
      <c r="F28" s="7" t="s">
        <v>3</v>
      </c>
      <c r="G28" s="1"/>
    </row>
    <row r="29" spans="1:7" x14ac:dyDescent="0.25">
      <c r="A29" s="1"/>
      <c r="B29" s="38" t="s">
        <v>165</v>
      </c>
      <c r="C29" s="39"/>
      <c r="D29" s="39"/>
      <c r="E29" s="7">
        <v>222797.26</v>
      </c>
      <c r="F29" s="7" t="s">
        <v>3</v>
      </c>
      <c r="G29" s="1"/>
    </row>
    <row r="30" spans="1:7" x14ac:dyDescent="0.25">
      <c r="A30" s="1"/>
      <c r="B30" s="47" t="s">
        <v>166</v>
      </c>
      <c r="C30" s="39"/>
      <c r="D30" s="39"/>
      <c r="E30" s="9">
        <f>SUM(E27:E29)</f>
        <v>-140368.42666666675</v>
      </c>
      <c r="F30" s="39" t="s">
        <v>3</v>
      </c>
      <c r="G30" s="1"/>
    </row>
    <row r="31" spans="1:7" x14ac:dyDescent="0.25">
      <c r="A31" s="1"/>
      <c r="B31" s="45" t="s">
        <v>36</v>
      </c>
      <c r="C31" s="45"/>
      <c r="D31" s="45"/>
      <c r="E31" s="10">
        <f>SUM(E17,E19,E23,E25,E30)</f>
        <v>5701163.3389049564</v>
      </c>
      <c r="F31" s="1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nK+yZXJk8deJ7OwvmcJV4ByrNatal/+V9Sw5nw4B7FNFE6CbC5iKogyL1EfLO0Ny7vW6scivSHP8cXnbXfBkMQ==" saltValue="qeTAXC+Yl9u1fDyPVRCz+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73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70" t="s">
        <v>29</v>
      </c>
      <c r="C5" s="70"/>
      <c r="D5" s="70"/>
      <c r="E5" s="70"/>
      <c r="F5" s="70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19</v>
      </c>
      <c r="C8" s="45"/>
      <c r="D8" s="45"/>
      <c r="E8" s="45"/>
      <c r="F8" s="45"/>
      <c r="G8" s="1"/>
    </row>
    <row r="9" spans="1:7" ht="15" customHeight="1" x14ac:dyDescent="0.25">
      <c r="A9" s="1"/>
      <c r="B9" s="41" t="s">
        <v>37</v>
      </c>
      <c r="C9" s="41"/>
      <c r="D9" s="41"/>
      <c r="E9" s="7">
        <f>'Fane 2.1. Økonomisk ramme 2020'!E17</f>
        <v>4577911.6128015928</v>
      </c>
      <c r="F9" s="41" t="s">
        <v>3</v>
      </c>
      <c r="G9" s="1"/>
    </row>
    <row r="10" spans="1:7" ht="15" customHeight="1" x14ac:dyDescent="0.25">
      <c r="A10" s="1"/>
      <c r="B10" s="41" t="s">
        <v>167</v>
      </c>
      <c r="C10" s="41"/>
      <c r="D10" s="41"/>
      <c r="E10" s="7">
        <v>7693.4053365003801</v>
      </c>
      <c r="F10" s="41" t="s">
        <v>3</v>
      </c>
      <c r="G10" s="1"/>
    </row>
    <row r="11" spans="1:7" ht="15" customHeight="1" x14ac:dyDescent="0.25">
      <c r="A11" s="1"/>
      <c r="B11" s="31" t="s">
        <v>144</v>
      </c>
      <c r="C11" s="41"/>
      <c r="D11" s="41"/>
      <c r="E11" s="7">
        <f>-('Fane 10. Bortfald'!C18+'Fane 10. Bortfald'!E18)</f>
        <v>0</v>
      </c>
      <c r="F11" s="41" t="s">
        <v>3</v>
      </c>
      <c r="G11" s="1"/>
    </row>
    <row r="12" spans="1:7" ht="15" customHeight="1" x14ac:dyDescent="0.25">
      <c r="A12" s="1"/>
      <c r="B12" s="42" t="s">
        <v>26</v>
      </c>
      <c r="C12" s="41"/>
      <c r="D12" s="41"/>
      <c r="E12" s="8">
        <f>SUM(E9:E11)*'Fane 12. Nøgletal'!C12</f>
        <v>90336.41885732043</v>
      </c>
      <c r="F12" s="41" t="s">
        <v>3</v>
      </c>
      <c r="G12" s="1"/>
    </row>
    <row r="13" spans="1:7" ht="15" customHeight="1" x14ac:dyDescent="0.25">
      <c r="A13" s="1"/>
      <c r="B13" s="42" t="s">
        <v>115</v>
      </c>
      <c r="C13" s="41"/>
      <c r="D13" s="41"/>
      <c r="E13" s="8">
        <f>-SUM(E9:E12)*'Fane 12. Nøgletal'!C17</f>
        <v>-79491.004428922024</v>
      </c>
      <c r="F13" s="41" t="s">
        <v>3</v>
      </c>
      <c r="G13" s="1"/>
    </row>
    <row r="14" spans="1:7" ht="15" customHeight="1" x14ac:dyDescent="0.25">
      <c r="A14" s="1"/>
      <c r="B14" s="44" t="s">
        <v>28</v>
      </c>
      <c r="C14" s="44"/>
      <c r="D14" s="44"/>
      <c r="E14" s="9">
        <f>SUM(E9:E13)</f>
        <v>4596450.432566491</v>
      </c>
      <c r="F14" s="39" t="s">
        <v>3</v>
      </c>
      <c r="G14" s="1"/>
    </row>
    <row r="15" spans="1:7" x14ac:dyDescent="0.25">
      <c r="A15" s="1"/>
      <c r="B15" s="45" t="s">
        <v>16</v>
      </c>
      <c r="C15" s="45"/>
      <c r="D15" s="45"/>
      <c r="E15" s="45"/>
      <c r="F15" s="45"/>
      <c r="G15" s="1"/>
    </row>
    <row r="16" spans="1:7" ht="15" customHeight="1" x14ac:dyDescent="0.25">
      <c r="A16" s="1"/>
      <c r="B16" s="39" t="s">
        <v>16</v>
      </c>
      <c r="C16" s="39"/>
      <c r="D16" s="39"/>
      <c r="E16" s="9">
        <f>'Fane 4. Ikke-påvirkelige omk.'!C14*(1+'Fane 12. Nøgletal'!C12)</f>
        <v>1288513.4697795997</v>
      </c>
      <c r="F16" s="39" t="s">
        <v>3</v>
      </c>
      <c r="G16" s="1"/>
    </row>
    <row r="17" spans="1:7" ht="15" customHeight="1" x14ac:dyDescent="0.25">
      <c r="A17" s="1"/>
      <c r="B17" s="45" t="s">
        <v>84</v>
      </c>
      <c r="C17" s="45"/>
      <c r="D17" s="45"/>
      <c r="E17" s="45"/>
      <c r="F17" s="45"/>
      <c r="G17" s="1"/>
    </row>
    <row r="18" spans="1:7" ht="15" customHeight="1" x14ac:dyDescent="0.25">
      <c r="A18" s="1"/>
      <c r="B18" s="31" t="s">
        <v>80</v>
      </c>
      <c r="C18" s="41"/>
      <c r="D18" s="41"/>
      <c r="E18" s="8">
        <f>'Fane 8.2. Engangstillæg'!C20</f>
        <v>0</v>
      </c>
      <c r="F18" s="41" t="s">
        <v>3</v>
      </c>
      <c r="G18" s="1"/>
    </row>
    <row r="19" spans="1:7" ht="15" customHeight="1" x14ac:dyDescent="0.25">
      <c r="A19" s="1"/>
      <c r="B19" s="31" t="s">
        <v>81</v>
      </c>
      <c r="C19" s="41"/>
      <c r="D19" s="41"/>
      <c r="E19" s="8">
        <f>'Fane 8.2. Engangstillæg'!E20</f>
        <v>0</v>
      </c>
      <c r="F19" s="41" t="s">
        <v>3</v>
      </c>
      <c r="G19" s="1"/>
    </row>
    <row r="20" spans="1:7" ht="15" customHeight="1" x14ac:dyDescent="0.25">
      <c r="A20" s="1"/>
      <c r="B20" s="46" t="s">
        <v>85</v>
      </c>
      <c r="C20" s="44"/>
      <c r="D20" s="44"/>
      <c r="E20" s="9">
        <f>SUM(E18:E19)</f>
        <v>0</v>
      </c>
      <c r="F20" s="39" t="s">
        <v>3</v>
      </c>
      <c r="G20" s="1"/>
    </row>
    <row r="21" spans="1:7" x14ac:dyDescent="0.25">
      <c r="A21" s="1"/>
      <c r="B21" s="45" t="s">
        <v>95</v>
      </c>
      <c r="C21" s="45"/>
      <c r="D21" s="45"/>
      <c r="E21" s="45"/>
      <c r="F21" s="45"/>
      <c r="G21" s="1"/>
    </row>
    <row r="22" spans="1:7" ht="15" customHeight="1" x14ac:dyDescent="0.25">
      <c r="A22" s="1"/>
      <c r="B22" s="39" t="s">
        <v>131</v>
      </c>
      <c r="C22" s="39"/>
      <c r="D22" s="39"/>
      <c r="E22" s="9">
        <f>'Fane 5. Kontrol af ØR2018'!E35</f>
        <v>74082.771666666667</v>
      </c>
      <c r="F22" s="39" t="s">
        <v>3</v>
      </c>
      <c r="G22" s="1"/>
    </row>
    <row r="23" spans="1:7" x14ac:dyDescent="0.25">
      <c r="A23" s="1"/>
      <c r="B23" s="45" t="s">
        <v>39</v>
      </c>
      <c r="C23" s="45"/>
      <c r="D23" s="45"/>
      <c r="E23" s="10">
        <f>SUM(E14,E16,E20,E22)</f>
        <v>5959046.6740127569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SXF52Cmgb/Q4J0B4ILV7330G45zsVLTIEwiMah2SAkosiuHcFA4sz0gtwCMBtBu+aNdp1truiJbBIeXN2sWTmQ==" saltValue="n+9Zbj039Iy/1gxGaJPmK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146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70" t="s">
        <v>29</v>
      </c>
      <c r="C5" s="70"/>
      <c r="D5" s="70"/>
      <c r="E5" s="70"/>
      <c r="F5" s="70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5" t="s">
        <v>19</v>
      </c>
      <c r="C7" s="45"/>
      <c r="D7" s="45"/>
      <c r="E7" s="45"/>
      <c r="F7" s="45"/>
      <c r="G7" s="1"/>
    </row>
    <row r="8" spans="1:7" ht="15" customHeight="1" x14ac:dyDescent="0.25">
      <c r="A8" s="1"/>
      <c r="B8" s="41" t="s">
        <v>37</v>
      </c>
      <c r="C8" s="41"/>
      <c r="D8" s="41"/>
      <c r="E8" s="7">
        <f>'Fane 2.2. Økonomisk ramme 2021'!E14</f>
        <v>4596450.432566491</v>
      </c>
      <c r="F8" s="41" t="s">
        <v>3</v>
      </c>
      <c r="G8" s="1"/>
    </row>
    <row r="9" spans="1:7" ht="15" customHeight="1" x14ac:dyDescent="0.25">
      <c r="A9" s="1"/>
      <c r="B9" s="41" t="s">
        <v>144</v>
      </c>
      <c r="C9" s="41"/>
      <c r="D9" s="41"/>
      <c r="E9" s="7">
        <f>-('Fane 10. Bortfald'!C24+'Fane 10. Bortfald'!E24)</f>
        <v>0</v>
      </c>
      <c r="F9" s="41" t="s">
        <v>3</v>
      </c>
      <c r="G9" s="1"/>
    </row>
    <row r="10" spans="1:7" ht="15" customHeight="1" x14ac:dyDescent="0.25">
      <c r="A10" s="1"/>
      <c r="B10" s="42" t="s">
        <v>26</v>
      </c>
      <c r="C10" s="41"/>
      <c r="D10" s="41"/>
      <c r="E10" s="8">
        <f>SUM(E8:E9)*'Fane 12. Nøgletal'!C12</f>
        <v>90550.073521559869</v>
      </c>
      <c r="F10" s="41" t="s">
        <v>3</v>
      </c>
      <c r="G10" s="1"/>
    </row>
    <row r="11" spans="1:7" ht="15" customHeight="1" x14ac:dyDescent="0.25">
      <c r="A11" s="1"/>
      <c r="B11" s="42" t="s">
        <v>115</v>
      </c>
      <c r="C11" s="41"/>
      <c r="D11" s="41"/>
      <c r="E11" s="8">
        <f>-SUM(E8:E10)*'Fane 12. Nøgletal'!C17</f>
        <v>-79679.00860349687</v>
      </c>
      <c r="F11" s="41" t="s">
        <v>3</v>
      </c>
      <c r="G11" s="1"/>
    </row>
    <row r="12" spans="1:7" x14ac:dyDescent="0.25">
      <c r="A12" s="1"/>
      <c r="B12" s="44" t="s">
        <v>28</v>
      </c>
      <c r="C12" s="44"/>
      <c r="D12" s="44"/>
      <c r="E12" s="9">
        <f>SUM(E8:E11)</f>
        <v>4607321.4974845545</v>
      </c>
      <c r="F12" s="39" t="s">
        <v>3</v>
      </c>
      <c r="G12" s="1"/>
    </row>
    <row r="13" spans="1:7" x14ac:dyDescent="0.25">
      <c r="A13" s="1"/>
      <c r="B13" s="45" t="s">
        <v>16</v>
      </c>
      <c r="C13" s="45"/>
      <c r="D13" s="45"/>
      <c r="E13" s="45"/>
      <c r="F13" s="45"/>
      <c r="G13" s="1"/>
    </row>
    <row r="14" spans="1:7" ht="15" customHeight="1" x14ac:dyDescent="0.25">
      <c r="A14" s="1"/>
      <c r="B14" s="39" t="s">
        <v>16</v>
      </c>
      <c r="C14" s="39"/>
      <c r="D14" s="39"/>
      <c r="E14" s="9">
        <f>'Fane 4. Ikke-påvirkelige omk.'!C14*(1+'Fane 12. Nøgletal'!C12)^2</f>
        <v>1313897.1851342579</v>
      </c>
      <c r="F14" s="39" t="s">
        <v>3</v>
      </c>
      <c r="G14" s="1"/>
    </row>
    <row r="15" spans="1:7" ht="15" customHeight="1" x14ac:dyDescent="0.25">
      <c r="A15" s="1"/>
      <c r="B15" s="45" t="s">
        <v>84</v>
      </c>
      <c r="C15" s="45"/>
      <c r="D15" s="45"/>
      <c r="E15" s="45"/>
      <c r="F15" s="45"/>
      <c r="G15" s="1"/>
    </row>
    <row r="16" spans="1:7" ht="15" customHeight="1" x14ac:dyDescent="0.25">
      <c r="A16" s="1"/>
      <c r="B16" s="31" t="s">
        <v>80</v>
      </c>
      <c r="C16" s="41"/>
      <c r="D16" s="41"/>
      <c r="E16" s="8">
        <f>'Fane 8.2. Engangstillæg'!C27</f>
        <v>0</v>
      </c>
      <c r="F16" s="41" t="s">
        <v>3</v>
      </c>
      <c r="G16" s="1"/>
    </row>
    <row r="17" spans="1:7" ht="15" customHeight="1" x14ac:dyDescent="0.25">
      <c r="A17" s="1"/>
      <c r="B17" s="31" t="s">
        <v>81</v>
      </c>
      <c r="C17" s="41"/>
      <c r="D17" s="41"/>
      <c r="E17" s="8">
        <f>'Fane 8.2. Engangstillæg'!E27</f>
        <v>0</v>
      </c>
      <c r="F17" s="41" t="s">
        <v>3</v>
      </c>
      <c r="G17" s="1"/>
    </row>
    <row r="18" spans="1:7" ht="15" customHeight="1" x14ac:dyDescent="0.25">
      <c r="A18" s="1"/>
      <c r="B18" s="46" t="s">
        <v>85</v>
      </c>
      <c r="C18" s="44"/>
      <c r="D18" s="44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45" t="s">
        <v>95</v>
      </c>
      <c r="C19" s="45"/>
      <c r="D19" s="45"/>
      <c r="E19" s="45"/>
      <c r="F19" s="45"/>
      <c r="G19" s="1"/>
    </row>
    <row r="20" spans="1:7" ht="15" customHeight="1" x14ac:dyDescent="0.25">
      <c r="A20" s="1"/>
      <c r="B20" s="39" t="s">
        <v>131</v>
      </c>
      <c r="C20" s="39"/>
      <c r="D20" s="39"/>
      <c r="E20" s="9">
        <f>'Fane 2.2. Økonomisk ramme 2021'!E22</f>
        <v>74082.771666666667</v>
      </c>
      <c r="F20" s="39" t="s">
        <v>3</v>
      </c>
      <c r="G20" s="1"/>
    </row>
    <row r="21" spans="1:7" x14ac:dyDescent="0.25">
      <c r="A21" s="1"/>
      <c r="B21" s="45" t="s">
        <v>40</v>
      </c>
      <c r="C21" s="45"/>
      <c r="D21" s="45"/>
      <c r="E21" s="10">
        <f>SUM(E12,E14,E18,E20)</f>
        <v>5995301.4542854792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+icGjz7TCSNl4nJBNEg3V/zin4ghKk7vnflG49YTcwOLxCh6lfGahqb6x1CL/vQZUIZwoGjPuR9He719+SABIw==" saltValue="Wj0R7bstNV0v8YtZXIiV+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145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70" t="s">
        <v>29</v>
      </c>
      <c r="C5" s="70"/>
      <c r="D5" s="70"/>
      <c r="E5" s="70"/>
      <c r="F5" s="70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5" t="s">
        <v>19</v>
      </c>
      <c r="C7" s="45"/>
      <c r="D7" s="45"/>
      <c r="E7" s="45"/>
      <c r="F7" s="45"/>
      <c r="G7" s="1"/>
    </row>
    <row r="8" spans="1:7" ht="15" customHeight="1" x14ac:dyDescent="0.25">
      <c r="A8" s="1"/>
      <c r="B8" s="41" t="s">
        <v>38</v>
      </c>
      <c r="C8" s="41"/>
      <c r="D8" s="41"/>
      <c r="E8" s="7">
        <f>'Fane 2.3. Økonomisk ramme 2022'!E12</f>
        <v>4607321.4974845545</v>
      </c>
      <c r="F8" s="41" t="s">
        <v>3</v>
      </c>
      <c r="G8" s="1"/>
    </row>
    <row r="9" spans="1:7" ht="15" customHeight="1" x14ac:dyDescent="0.25">
      <c r="A9" s="1"/>
      <c r="B9" s="41" t="s">
        <v>144</v>
      </c>
      <c r="C9" s="41"/>
      <c r="D9" s="41"/>
      <c r="E9" s="7">
        <f>-('Fane 10. Bortfald'!C30+'Fane 10. Bortfald'!E30)</f>
        <v>0</v>
      </c>
      <c r="F9" s="41" t="s">
        <v>3</v>
      </c>
      <c r="G9" s="1"/>
    </row>
    <row r="10" spans="1:7" ht="15" customHeight="1" x14ac:dyDescent="0.25">
      <c r="A10" s="1"/>
      <c r="B10" s="42" t="s">
        <v>26</v>
      </c>
      <c r="C10" s="41"/>
      <c r="D10" s="41"/>
      <c r="E10" s="8">
        <f>E8*'Fane 12. Nøgletal'!C12</f>
        <v>90764.233500445713</v>
      </c>
      <c r="F10" s="41" t="s">
        <v>3</v>
      </c>
      <c r="G10" s="1"/>
    </row>
    <row r="11" spans="1:7" ht="15" customHeight="1" x14ac:dyDescent="0.25">
      <c r="A11" s="1"/>
      <c r="B11" s="42" t="s">
        <v>115</v>
      </c>
      <c r="C11" s="41"/>
      <c r="D11" s="41"/>
      <c r="E11" s="8">
        <f>-SUM(E8:E10)*'Fane 12. Nøgletal'!C17</f>
        <v>-79867.457426745008</v>
      </c>
      <c r="F11" s="41" t="s">
        <v>3</v>
      </c>
      <c r="G11" s="1"/>
    </row>
    <row r="12" spans="1:7" x14ac:dyDescent="0.25">
      <c r="A12" s="1"/>
      <c r="B12" s="44" t="s">
        <v>28</v>
      </c>
      <c r="C12" s="44"/>
      <c r="D12" s="44"/>
      <c r="E12" s="9">
        <f>SUM(E8:E11)</f>
        <v>4618218.2735582544</v>
      </c>
      <c r="F12" s="39" t="s">
        <v>3</v>
      </c>
      <c r="G12" s="1"/>
    </row>
    <row r="13" spans="1:7" x14ac:dyDescent="0.25">
      <c r="A13" s="1"/>
      <c r="B13" s="45" t="s">
        <v>16</v>
      </c>
      <c r="C13" s="45"/>
      <c r="D13" s="45"/>
      <c r="E13" s="45"/>
      <c r="F13" s="45"/>
      <c r="G13" s="1"/>
    </row>
    <row r="14" spans="1:7" ht="15" customHeight="1" x14ac:dyDescent="0.25">
      <c r="A14" s="1"/>
      <c r="B14" s="39" t="s">
        <v>16</v>
      </c>
      <c r="C14" s="39"/>
      <c r="D14" s="39"/>
      <c r="E14" s="9">
        <f>'Fane 4. Ikke-påvirkelige omk.'!C14*(1+'Fane 12. Nøgletal'!C12)^3</f>
        <v>1339780.9596814027</v>
      </c>
      <c r="F14" s="39" t="s">
        <v>3</v>
      </c>
      <c r="G14" s="1"/>
    </row>
    <row r="15" spans="1:7" ht="15" customHeight="1" x14ac:dyDescent="0.25">
      <c r="A15" s="1"/>
      <c r="B15" s="45" t="s">
        <v>84</v>
      </c>
      <c r="C15" s="45"/>
      <c r="D15" s="45"/>
      <c r="E15" s="45"/>
      <c r="F15" s="45"/>
      <c r="G15" s="1"/>
    </row>
    <row r="16" spans="1:7" ht="15" customHeight="1" x14ac:dyDescent="0.25">
      <c r="A16" s="1"/>
      <c r="B16" s="31" t="s">
        <v>80</v>
      </c>
      <c r="C16" s="41"/>
      <c r="D16" s="41"/>
      <c r="E16" s="8">
        <f>'Fane 8.2. Engangstillæg'!C34</f>
        <v>0</v>
      </c>
      <c r="F16" s="41" t="s">
        <v>3</v>
      </c>
      <c r="G16" s="1"/>
    </row>
    <row r="17" spans="1:7" ht="15" customHeight="1" x14ac:dyDescent="0.25">
      <c r="A17" s="1"/>
      <c r="B17" s="31" t="s">
        <v>81</v>
      </c>
      <c r="C17" s="41"/>
      <c r="D17" s="41"/>
      <c r="E17" s="8">
        <f>'Fane 8.2. Engangstillæg'!E34</f>
        <v>0</v>
      </c>
      <c r="F17" s="41" t="s">
        <v>3</v>
      </c>
      <c r="G17" s="1"/>
    </row>
    <row r="18" spans="1:7" ht="15" customHeight="1" x14ac:dyDescent="0.25">
      <c r="A18" s="1"/>
      <c r="B18" s="46" t="s">
        <v>85</v>
      </c>
      <c r="C18" s="44"/>
      <c r="D18" s="44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45" t="s">
        <v>95</v>
      </c>
      <c r="C19" s="45"/>
      <c r="D19" s="45"/>
      <c r="E19" s="45"/>
      <c r="F19" s="45"/>
      <c r="G19" s="1"/>
    </row>
    <row r="20" spans="1:7" ht="15" customHeight="1" x14ac:dyDescent="0.25">
      <c r="A20" s="1"/>
      <c r="B20" s="39" t="s">
        <v>131</v>
      </c>
      <c r="C20" s="39"/>
      <c r="D20" s="39"/>
      <c r="E20" s="9">
        <f>'Fane 2.3. Økonomisk ramme 2022'!E20</f>
        <v>74082.771666666667</v>
      </c>
      <c r="F20" s="39" t="s">
        <v>3</v>
      </c>
      <c r="G20" s="1"/>
    </row>
    <row r="21" spans="1:7" x14ac:dyDescent="0.25">
      <c r="A21" s="1"/>
      <c r="B21" s="45" t="s">
        <v>89</v>
      </c>
      <c r="C21" s="45"/>
      <c r="D21" s="45"/>
      <c r="E21" s="10">
        <f>SUM(E12,E14,E18,E20)</f>
        <v>6032082.0049063237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ubsV6r7HejnxT4qjsxgXsKZs87LinM5TwBefh/0ZL93PJf76lIKdvhc9+Hf8FB4b0orS5CDCJ5orbGN65rKA3g==" saltValue="HPUF2Je6t0d/RSwyDZbgk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138</v>
      </c>
      <c r="C3" s="74"/>
      <c r="D3" s="74"/>
      <c r="E3" s="74"/>
      <c r="F3" s="74"/>
      <c r="G3" s="1"/>
    </row>
    <row r="4" spans="1:7" ht="29.2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72</v>
      </c>
      <c r="C8" s="45"/>
      <c r="D8" s="45"/>
      <c r="E8" s="45"/>
      <c r="F8" s="45"/>
      <c r="G8" s="1"/>
    </row>
    <row r="9" spans="1:7" x14ac:dyDescent="0.25">
      <c r="A9" s="1"/>
      <c r="B9" s="75" t="s">
        <v>70</v>
      </c>
      <c r="C9" s="75"/>
      <c r="D9" s="75"/>
      <c r="E9" s="7">
        <v>3843348.2955947807</v>
      </c>
      <c r="F9" s="41" t="s">
        <v>3</v>
      </c>
      <c r="G9" s="1"/>
    </row>
    <row r="10" spans="1:7" x14ac:dyDescent="0.25">
      <c r="A10" s="1"/>
      <c r="B10" s="77" t="s">
        <v>140</v>
      </c>
      <c r="C10" s="77"/>
      <c r="D10" s="77"/>
      <c r="E10" s="7">
        <v>0</v>
      </c>
      <c r="F10" s="41" t="s">
        <v>3</v>
      </c>
      <c r="G10" s="1"/>
    </row>
    <row r="11" spans="1:7" x14ac:dyDescent="0.25">
      <c r="A11" s="1"/>
      <c r="B11" s="76" t="s">
        <v>141</v>
      </c>
      <c r="C11" s="76"/>
      <c r="D11" s="76"/>
      <c r="E11" s="7">
        <v>721255.6460999999</v>
      </c>
      <c r="F11" s="41" t="s">
        <v>3</v>
      </c>
      <c r="G11" s="1"/>
    </row>
    <row r="12" spans="1:7" x14ac:dyDescent="0.25">
      <c r="A12" s="1"/>
      <c r="B12" s="76" t="s">
        <v>142</v>
      </c>
      <c r="C12" s="76"/>
      <c r="D12" s="76"/>
      <c r="E12" s="8">
        <v>0</v>
      </c>
      <c r="F12" s="41" t="s">
        <v>3</v>
      </c>
      <c r="G12" s="1"/>
    </row>
    <row r="13" spans="1:7" x14ac:dyDescent="0.25">
      <c r="A13" s="1"/>
      <c r="B13" s="76" t="s">
        <v>26</v>
      </c>
      <c r="C13" s="76"/>
      <c r="D13" s="76"/>
      <c r="E13" s="8">
        <f>(SUM(E9:E9)-SUM(E10:E10))*'Fane 12. Nøgletal'!C9+SUM(E10:E10)*'Fane 12. Nøgletal'!C10+SUM(E11:E12)*'Fane 12. Nøgletal'!C11</f>
        <v>60999.743773143709</v>
      </c>
      <c r="F13" s="41" t="s">
        <v>3</v>
      </c>
      <c r="G13" s="1"/>
    </row>
    <row r="14" spans="1:7" x14ac:dyDescent="0.25">
      <c r="A14" s="1"/>
      <c r="B14" s="76" t="s">
        <v>115</v>
      </c>
      <c r="C14" s="76"/>
      <c r="D14" s="76"/>
      <c r="E14" s="8">
        <f>-SUM(E9:E9,E11:E13)*'Fane 12. Nøgletal'!C17</f>
        <v>-78635.262652954712</v>
      </c>
      <c r="F14" s="41" t="s">
        <v>3</v>
      </c>
      <c r="G14" s="1"/>
    </row>
    <row r="15" spans="1:7" x14ac:dyDescent="0.25">
      <c r="A15" s="1"/>
      <c r="B15" s="78" t="s">
        <v>28</v>
      </c>
      <c r="C15" s="78"/>
      <c r="D15" s="78"/>
      <c r="E15" s="9">
        <f>SUM(E9,E11:E14)</f>
        <v>4546968.422814969</v>
      </c>
      <c r="F15" s="39" t="s">
        <v>3</v>
      </c>
      <c r="G15" s="1"/>
    </row>
    <row r="16" spans="1:7" x14ac:dyDescent="0.25">
      <c r="A16" s="1"/>
      <c r="B16" s="79" t="s">
        <v>16</v>
      </c>
      <c r="C16" s="79"/>
      <c r="D16" s="79"/>
      <c r="E16" s="45"/>
      <c r="F16" s="45"/>
      <c r="G16" s="1"/>
    </row>
    <row r="17" spans="1:7" x14ac:dyDescent="0.25">
      <c r="A17" s="1"/>
      <c r="B17" s="73" t="s">
        <v>16</v>
      </c>
      <c r="C17" s="73"/>
      <c r="D17" s="73"/>
      <c r="E17" s="9">
        <v>1170279.8552650497</v>
      </c>
      <c r="F17" s="39" t="s">
        <v>3</v>
      </c>
      <c r="G17" s="1"/>
    </row>
    <row r="18" spans="1:7" x14ac:dyDescent="0.25">
      <c r="A18" s="1"/>
      <c r="B18" s="45" t="s">
        <v>71</v>
      </c>
      <c r="C18" s="45"/>
      <c r="D18" s="45"/>
      <c r="E18" s="45"/>
      <c r="F18" s="45"/>
      <c r="G18" s="1"/>
    </row>
    <row r="19" spans="1:7" ht="27" customHeight="1" x14ac:dyDescent="0.25">
      <c r="A19" s="1"/>
      <c r="B19" s="72" t="s">
        <v>74</v>
      </c>
      <c r="C19" s="72"/>
      <c r="D19" s="72"/>
      <c r="E19" s="9">
        <v>6219.6440048804698</v>
      </c>
      <c r="F19" s="39" t="s">
        <v>3</v>
      </c>
      <c r="G19" s="1"/>
    </row>
    <row r="20" spans="1:7" x14ac:dyDescent="0.25">
      <c r="A20" s="1"/>
      <c r="B20" s="45" t="s">
        <v>10</v>
      </c>
      <c r="C20" s="45"/>
      <c r="D20" s="45"/>
      <c r="E20" s="45"/>
      <c r="F20" s="45"/>
      <c r="G20" s="1"/>
    </row>
    <row r="21" spans="1:7" x14ac:dyDescent="0.25">
      <c r="A21" s="1"/>
      <c r="B21" s="73" t="s">
        <v>18</v>
      </c>
      <c r="C21" s="73"/>
      <c r="D21" s="73"/>
      <c r="E21" s="9">
        <v>0</v>
      </c>
      <c r="F21" s="39" t="s">
        <v>3</v>
      </c>
      <c r="G21" s="1"/>
    </row>
    <row r="22" spans="1:7" x14ac:dyDescent="0.25">
      <c r="A22" s="1"/>
      <c r="B22" s="45" t="s">
        <v>23</v>
      </c>
      <c r="C22" s="45"/>
      <c r="D22" s="45"/>
      <c r="E22" s="10">
        <f>SUM(E21,E19,E17,E15)</f>
        <v>5723467.9220848996</v>
      </c>
      <c r="F22" s="11" t="s">
        <v>3</v>
      </c>
      <c r="G22" s="1"/>
    </row>
    <row r="23" spans="1:7" ht="28.5" customHeight="1" x14ac:dyDescent="0.25">
      <c r="A23" s="1"/>
      <c r="B23" s="71" t="s">
        <v>118</v>
      </c>
      <c r="C23" s="71"/>
      <c r="D23" s="71"/>
      <c r="E23" s="71"/>
      <c r="F23" s="7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fgoWSl96Deb5CZ9SXrUm2U+yU7A879hBzC0zLd+eALh2pV2pCHt+ZvttvHeCnRiEwEtioei6zJzvKVDW2jA/Yg==" saltValue="yIbPL8m375D89SyVnaSYCQ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9" t="s">
        <v>110</v>
      </c>
      <c r="C3" s="69"/>
      <c r="D3" s="69"/>
      <c r="E3" s="1"/>
      <c r="F3" s="1"/>
    </row>
    <row r="4" spans="1:6" ht="15" customHeight="1" x14ac:dyDescent="0.25">
      <c r="A4" s="1"/>
      <c r="B4" s="69"/>
      <c r="C4" s="69"/>
      <c r="D4" s="6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0" t="s">
        <v>58</v>
      </c>
      <c r="C8" s="81"/>
      <c r="D8" s="82"/>
      <c r="E8" s="1"/>
      <c r="F8" s="1"/>
    </row>
    <row r="9" spans="1:6" ht="15" customHeight="1" x14ac:dyDescent="0.25">
      <c r="A9" s="1"/>
      <c r="B9" s="19" t="s">
        <v>43</v>
      </c>
      <c r="C9" s="39" t="s">
        <v>59</v>
      </c>
      <c r="D9" s="39"/>
      <c r="E9" s="1"/>
      <c r="F9" s="1"/>
    </row>
    <row r="10" spans="1:6" x14ac:dyDescent="0.25">
      <c r="A10" s="1"/>
      <c r="B10" s="30" t="s">
        <v>147</v>
      </c>
      <c r="C10" s="8">
        <v>1190629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5327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19311</v>
      </c>
      <c r="D12" s="12" t="s">
        <v>3</v>
      </c>
      <c r="E12" s="1"/>
      <c r="F12" s="1"/>
    </row>
    <row r="13" spans="1:6" x14ac:dyDescent="0.25">
      <c r="A13" s="1"/>
      <c r="B13" s="49" t="s">
        <v>60</v>
      </c>
      <c r="C13" s="10">
        <f>SUM(C10:C12)</f>
        <v>1215267</v>
      </c>
      <c r="D13" s="11" t="s">
        <v>3</v>
      </c>
      <c r="E13" s="1"/>
      <c r="F13" s="1"/>
    </row>
    <row r="14" spans="1:6" x14ac:dyDescent="0.25">
      <c r="A14" s="1"/>
      <c r="B14" s="49" t="s">
        <v>61</v>
      </c>
      <c r="C14" s="10">
        <f>C13*(1+'Fane 12. Nøgletal'!C12)^2</f>
        <v>1263620.1527700301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uhE6dAN/JRQLhT37B6ewhP5DnqpavI+a4CMX5T1yctlRD8U35perhIdwpK/TJwwtDEUz+6utbYJ0IznG9ij25w==" saltValue="3rMqA1sJHe4DwQSuGO+tE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4" t="s">
        <v>119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ht="15" customHeight="1" x14ac:dyDescent="0.25">
      <c r="A5" s="1"/>
      <c r="B5" s="40"/>
      <c r="C5" s="40"/>
      <c r="D5" s="40"/>
      <c r="E5" s="40"/>
      <c r="F5" s="40"/>
      <c r="G5" s="1"/>
    </row>
    <row r="6" spans="1:7" ht="15" customHeight="1" x14ac:dyDescent="0.25">
      <c r="A6" s="1"/>
      <c r="B6" s="83" t="s">
        <v>47</v>
      </c>
      <c r="C6" s="83"/>
      <c r="D6" s="83"/>
      <c r="E6" s="83"/>
      <c r="F6" s="83"/>
      <c r="G6" s="1"/>
    </row>
    <row r="7" spans="1:7" ht="15" customHeight="1" x14ac:dyDescent="0.25">
      <c r="A7" s="1"/>
      <c r="B7" s="84" t="s">
        <v>45</v>
      </c>
      <c r="C7" s="84"/>
      <c r="D7" s="84"/>
      <c r="E7" s="8">
        <v>-27943.913333333334</v>
      </c>
      <c r="F7" s="12" t="s">
        <v>3</v>
      </c>
      <c r="G7" s="1"/>
    </row>
    <row r="8" spans="1:7" ht="15" customHeight="1" x14ac:dyDescent="0.25">
      <c r="A8" s="1"/>
      <c r="B8" s="84" t="s">
        <v>46</v>
      </c>
      <c r="C8" s="84"/>
      <c r="D8" s="84"/>
      <c r="E8" s="8">
        <v>324275</v>
      </c>
      <c r="F8" s="12" t="s">
        <v>3</v>
      </c>
      <c r="G8" s="1"/>
    </row>
    <row r="9" spans="1:7" ht="15" customHeight="1" x14ac:dyDescent="0.25">
      <c r="A9" s="1"/>
      <c r="B9" s="86" t="s">
        <v>129</v>
      </c>
      <c r="C9" s="87"/>
      <c r="D9" s="88"/>
      <c r="E9" s="9">
        <f>SUM(E7:E8)</f>
        <v>296331.08666666667</v>
      </c>
      <c r="F9" s="15" t="s">
        <v>3</v>
      </c>
      <c r="G9" s="1"/>
    </row>
    <row r="10" spans="1:7" ht="15" customHeight="1" x14ac:dyDescent="0.25">
      <c r="A10" s="1"/>
      <c r="B10" s="80"/>
      <c r="C10" s="81"/>
      <c r="D10" s="81"/>
      <c r="E10" s="81"/>
      <c r="F10" s="82"/>
      <c r="G10" s="1"/>
    </row>
    <row r="11" spans="1:7" ht="27" customHeight="1" x14ac:dyDescent="0.25">
      <c r="A11" s="1"/>
      <c r="B11" s="71" t="s">
        <v>113</v>
      </c>
      <c r="C11" s="71"/>
      <c r="D11" s="71"/>
      <c r="E11" s="71"/>
      <c r="F11" s="7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99</v>
      </c>
      <c r="C14" s="83"/>
      <c r="D14" s="83"/>
      <c r="E14" s="83"/>
      <c r="F14" s="83"/>
      <c r="G14" s="1"/>
    </row>
    <row r="15" spans="1:7" x14ac:dyDescent="0.25">
      <c r="A15" s="1"/>
      <c r="B15" s="84" t="s">
        <v>100</v>
      </c>
      <c r="C15" s="84"/>
      <c r="D15" s="84"/>
      <c r="E15" s="8">
        <v>4989415.7410463998</v>
      </c>
      <c r="F15" s="12" t="s">
        <v>3</v>
      </c>
      <c r="G15" s="1"/>
    </row>
    <row r="16" spans="1:7" x14ac:dyDescent="0.25">
      <c r="A16" s="1"/>
      <c r="B16" s="84" t="s">
        <v>101</v>
      </c>
      <c r="C16" s="84"/>
      <c r="D16" s="84"/>
      <c r="E16" s="8">
        <v>4790988</v>
      </c>
      <c r="F16" s="12" t="s">
        <v>3</v>
      </c>
      <c r="G16" s="1"/>
    </row>
    <row r="17" spans="1:7" x14ac:dyDescent="0.25">
      <c r="A17" s="1"/>
      <c r="B17" s="84" t="s">
        <v>44</v>
      </c>
      <c r="C17" s="84"/>
      <c r="D17" s="84"/>
      <c r="E17" s="8">
        <v>0</v>
      </c>
      <c r="F17" s="12" t="s">
        <v>3</v>
      </c>
      <c r="G17" s="1"/>
    </row>
    <row r="18" spans="1:7" x14ac:dyDescent="0.25">
      <c r="A18" s="1"/>
      <c r="B18" s="85" t="s">
        <v>130</v>
      </c>
      <c r="C18" s="85"/>
      <c r="D18" s="85"/>
      <c r="E18" s="9">
        <f>E15-(E16-E17)</f>
        <v>198427.74104639981</v>
      </c>
      <c r="F18" s="15" t="s">
        <v>3</v>
      </c>
      <c r="G18" s="1"/>
    </row>
    <row r="19" spans="1:7" x14ac:dyDescent="0.25">
      <c r="A19" s="1"/>
      <c r="B19" s="89"/>
      <c r="C19" s="90"/>
      <c r="D19" s="90"/>
      <c r="E19" s="90"/>
      <c r="F19" s="91"/>
      <c r="G19" s="1"/>
    </row>
    <row r="20" spans="1:7" ht="28.5" customHeight="1" x14ac:dyDescent="0.25">
      <c r="A20" s="1"/>
      <c r="B20" s="71" t="s">
        <v>112</v>
      </c>
      <c r="C20" s="71"/>
      <c r="D20" s="71"/>
      <c r="E20" s="71"/>
      <c r="F20" s="7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3" t="s">
        <v>66</v>
      </c>
      <c r="C23" s="83"/>
      <c r="D23" s="83"/>
      <c r="E23" s="83"/>
      <c r="F23" s="83"/>
      <c r="G23" s="1"/>
    </row>
    <row r="24" spans="1:7" x14ac:dyDescent="0.25">
      <c r="A24" s="1"/>
      <c r="B24" s="84" t="s">
        <v>67</v>
      </c>
      <c r="C24" s="84"/>
      <c r="D24" s="84"/>
      <c r="E24" s="8">
        <v>4856866.2273223773</v>
      </c>
      <c r="F24" s="12" t="s">
        <v>3</v>
      </c>
      <c r="G24" s="1"/>
    </row>
    <row r="25" spans="1:7" x14ac:dyDescent="0.25">
      <c r="A25" s="1"/>
      <c r="B25" s="84" t="s">
        <v>68</v>
      </c>
      <c r="C25" s="84"/>
      <c r="D25" s="84"/>
      <c r="E25" s="8">
        <v>4616175</v>
      </c>
      <c r="F25" s="12" t="s">
        <v>3</v>
      </c>
      <c r="G25" s="1"/>
    </row>
    <row r="26" spans="1:7" x14ac:dyDescent="0.25">
      <c r="A26" s="1"/>
      <c r="B26" s="84" t="s">
        <v>44</v>
      </c>
      <c r="C26" s="84"/>
      <c r="D26" s="84"/>
      <c r="E26" s="8">
        <v>0</v>
      </c>
      <c r="F26" s="12" t="s">
        <v>3</v>
      </c>
      <c r="G26" s="1"/>
    </row>
    <row r="27" spans="1:7" x14ac:dyDescent="0.25">
      <c r="A27" s="1"/>
      <c r="B27" s="85" t="s">
        <v>130</v>
      </c>
      <c r="C27" s="85"/>
      <c r="D27" s="85"/>
      <c r="E27" s="9">
        <f>E24-(E25-E26)</f>
        <v>240691.22732237726</v>
      </c>
      <c r="F27" s="15" t="s">
        <v>3</v>
      </c>
      <c r="G27" s="1"/>
    </row>
    <row r="28" spans="1:7" x14ac:dyDescent="0.25">
      <c r="A28" s="1"/>
      <c r="B28" s="80"/>
      <c r="C28" s="81"/>
      <c r="D28" s="81"/>
      <c r="E28" s="81"/>
      <c r="F28" s="8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3" t="s">
        <v>114</v>
      </c>
      <c r="C31" s="83"/>
      <c r="D31" s="83"/>
      <c r="E31" s="83"/>
      <c r="F31" s="83"/>
      <c r="G31" s="1"/>
    </row>
    <row r="32" spans="1:7" x14ac:dyDescent="0.25">
      <c r="A32" s="1"/>
      <c r="B32" s="77" t="s">
        <v>47</v>
      </c>
      <c r="C32" s="77"/>
      <c r="D32" s="77"/>
      <c r="E32" s="8">
        <f>E9</f>
        <v>296331.08666666667</v>
      </c>
      <c r="F32" s="12" t="s">
        <v>3</v>
      </c>
      <c r="G32" s="1"/>
    </row>
    <row r="33" spans="1:7" x14ac:dyDescent="0.25">
      <c r="A33" s="1"/>
      <c r="B33" s="77" t="s">
        <v>128</v>
      </c>
      <c r="C33" s="77"/>
      <c r="D33" s="77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7" t="s">
        <v>122</v>
      </c>
      <c r="C34" s="77"/>
      <c r="D34" s="77"/>
      <c r="E34" s="8">
        <v>4</v>
      </c>
      <c r="F34" s="12" t="s">
        <v>27</v>
      </c>
      <c r="G34" s="1"/>
    </row>
    <row r="35" spans="1:7" x14ac:dyDescent="0.25">
      <c r="A35" s="1"/>
      <c r="B35" s="85" t="s">
        <v>153</v>
      </c>
      <c r="C35" s="85"/>
      <c r="D35" s="85"/>
      <c r="E35" s="9">
        <f>SUM(E32:E33)/E34</f>
        <v>74082.771666666667</v>
      </c>
      <c r="F35" s="15" t="s">
        <v>3</v>
      </c>
      <c r="G35" s="1"/>
    </row>
    <row r="36" spans="1:7" x14ac:dyDescent="0.25">
      <c r="A36" s="1"/>
      <c r="B36" s="83"/>
      <c r="C36" s="83"/>
      <c r="D36" s="83"/>
      <c r="E36" s="83"/>
      <c r="F36" s="83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QV1B3YdgVnozMwkcXz8f5GXSGs/+UJLYFhmewnDjmIWTZsYbeTV2IuFyRMAeuYKZQwe41Z84zZnfSm2Q0RFP4A==" saltValue="X69ilJAGJZKH/dQIH8Cynw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4" t="s">
        <v>154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3" t="s">
        <v>94</v>
      </c>
      <c r="C8" s="83"/>
      <c r="D8" s="83"/>
      <c r="E8" s="83"/>
      <c r="F8" s="83"/>
      <c r="G8" s="1"/>
    </row>
    <row r="9" spans="1:7" ht="28.5" customHeight="1" x14ac:dyDescent="0.25">
      <c r="A9" s="1"/>
      <c r="B9" s="72" t="s">
        <v>98</v>
      </c>
      <c r="C9" s="72"/>
      <c r="D9" s="72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9" t="s">
        <v>3</v>
      </c>
      <c r="G9" s="1"/>
    </row>
    <row r="10" spans="1:7" x14ac:dyDescent="0.25">
      <c r="A10" s="1"/>
      <c r="B10" s="45" t="s">
        <v>109</v>
      </c>
      <c r="C10" s="45"/>
      <c r="D10" s="45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kyEGgwgOykH/RN3xqq0BGUW+/ZpoE1f7AVeYyQTKVWpqHA7f7hQVHALB5HJaIDHCsS/Wkxfq6mk5wWEsDzzxQw==" saltValue="xDCTwmxeB0Om2IcQzEea1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2019-08-21T11:49:06Z</dcterms:modified>
</cp:coreProperties>
</file>