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Glamsbjerg Vandværk (V066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4" i="19"/>
  <c r="C15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<sst xmlns="http://schemas.openxmlformats.org/spreadsheetml/2006/main" count="424" uniqueCount="164">
  <si>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</si>
  <si>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</si>
  <si>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</si>
  <si>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</si>
  <si>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</si>
  <si>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</si>
  <si>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</si>
  <si>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</si>
  <si>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</si>
  <si>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</si>
  <si>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</si>
  <si>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</si>
  <si>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</si>
  <si>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</si>
  <si>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</si>
  <si>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</si>
  <si>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</si>
  <si>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</si>
  <si>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</si>
  <si>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</si>
  <si>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</si>
  <si>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</si>
  <si>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</si>
  <si>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</si>
  <si>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</si>
  <si>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</si>
  <si>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</si>
  <si>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</si>
  <si>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</si>
  <si>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</si>
  <si>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</si>
  <si>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</si>
  <si>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</si>
  <si>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</si>
  <si>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</si>
  <si>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</si>
  <si>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</si>
  <si>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</si>
  <si>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</si>
  <si>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</si>
  <si>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</si>
  <si>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</si>
  <si>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</si>
  <si>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</si>
  <si>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</si>
  <si>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</si>
  <si>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</si>
  <si>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</si>
  <si>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</si>
  <si>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</si>
  <si>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</si>
  <si>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</si>
  <si>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</si>
  <si>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</si>
  <si>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</si>
  <si>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</si>
  <si>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</si>
  <si>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</si>
  <si>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</si>
  <si>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</si>
  <si>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</si>
  <si>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</si>
  <si>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</si>
  <si>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</si>
  <si>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</si>
  <si>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</si>
  <si>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</si>
  <si>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</si>
  <si>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</si>
  <si>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</si>
  <si>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</si>
  <si>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</si>
  <si>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</si>
  <si>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</si>
  <si>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</si>
  <si>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</si>
  <si>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</si>
  <si>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</si>
  <si>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</si>
  <si>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</si>
  <si>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</si>
  <si>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</si>
  <si>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</si>
  <si>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</si>
  <si>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</si>
  <si>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</si>
  <si>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</si>
  <si>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</si>
  <si>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</si>
  <si>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</si>
  <si>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</si>
  <si>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</si>
  <si>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</si>
  <si>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</si>
  <si>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</si>
  <si>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</si>
  <si>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</si>
  <si>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</si>
  <si>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</si>
  <si>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</si>
  <si>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</si>
  <si>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</si>
  <si>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</si>
  <si>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</si>
  <si>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</si>
  <si>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</si>
  <si>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</si>
  <si>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</si>
  <si>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</si>
  <si>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</si>
  <si>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</si>
  <si>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</si>
  <si>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</si>
  <si>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</si>
  <si>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</si>
  <si>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</si>
  <si>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</si>
  <si>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</si>
  <si>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</si>
  <si>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</si>
  <si>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</si>
  <si>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</si>
  <si>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</si>
  <si>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</si>
  <si>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</si>
  <si>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</si>
  <si>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</si>
  <si>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</si>
  <si>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</si>
  <si>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</si>
  <si>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</si>
  <si>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</si>
  <si>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</si>
  <si>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</si>
  <si>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</si>
  <si>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</si>
  <si>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</si>
  <si>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</si>
  <si>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</si>
  <si>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</si>
  <si>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</si>
  <si>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</si>
  <si>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</si>
  <si>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</si>
  <si>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</si>
  <si>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</si>
  <si>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</si>
  <si>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Afgift for ledningsført vand</t>
  </si>
  <si>
    <t>Afgift til Forsyningssekretariatet</t>
  </si>
  <si>
    <t>Køb af produkter og ydelser fra andre vandselskaber reguleret af vandsektorloven</t>
  </si>
  <si>
    <t>Ejendomsskat</t>
  </si>
  <si>
    <t>Ingen engangstillæg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</si>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</sst>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2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25">
      <c r="A8" s="1"/>
      <c r="B8" s="1"/>
      <c r="C8" s="4"/>
      <c r="D8" s="63" t="s">
        <v>116</v>
      </c>
      <c r="E8" s="63"/>
      <c r="F8" s="63"/>
      <c r="G8" s="63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2" t="s">
        <v>5</v>
      </c>
      <c r="E11" s="62"/>
      <c r="F11" s="62"/>
      <c r="G11" s="6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8" t="s">
        <v>49</v>
      </c>
      <c r="E13" s="59"/>
      <c r="F13" s="59"/>
      <c r="G13" s="60"/>
      <c r="H13" s="1"/>
      <c r="I13" s="1"/>
    </row>
    <row r="14" spans="1:9" x14ac:dyDescent="0.25">
      <c r="A14" s="1"/>
      <c r="B14" s="1"/>
      <c r="C14" s="6" t="s">
        <v>22</v>
      </c>
      <c r="D14" s="58" t="s">
        <v>117</v>
      </c>
      <c r="E14" s="59"/>
      <c r="F14" s="59"/>
      <c r="G14" s="60"/>
      <c r="H14" s="1"/>
      <c r="I14" s="1"/>
    </row>
    <row r="15" spans="1:9" x14ac:dyDescent="0.25">
      <c r="A15" s="1"/>
      <c r="B15" s="1"/>
      <c r="C15" s="6" t="s">
        <v>48</v>
      </c>
      <c r="D15" s="58" t="s">
        <v>75</v>
      </c>
      <c r="E15" s="59"/>
      <c r="F15" s="59"/>
      <c r="G15" s="60"/>
      <c r="H15" s="1"/>
      <c r="I15" s="1"/>
    </row>
    <row r="16" spans="1:9" x14ac:dyDescent="0.25">
      <c r="A16" s="1"/>
      <c r="B16" s="1"/>
      <c r="C16" s="6" t="s">
        <v>50</v>
      </c>
      <c r="D16" s="58" t="s">
        <v>76</v>
      </c>
      <c r="E16" s="59"/>
      <c r="F16" s="59"/>
      <c r="G16" s="60"/>
      <c r="H16" s="1"/>
      <c r="I16" s="1"/>
    </row>
    <row r="17" spans="1:9" x14ac:dyDescent="0.25">
      <c r="A17" s="1"/>
      <c r="B17" s="1"/>
      <c r="C17" s="6" t="s">
        <v>139</v>
      </c>
      <c r="D17" s="58" t="s">
        <v>57</v>
      </c>
      <c r="E17" s="59"/>
      <c r="F17" s="59"/>
      <c r="G17" s="60"/>
      <c r="H17" s="1"/>
      <c r="I17" s="1"/>
    </row>
    <row r="18" spans="1:9" x14ac:dyDescent="0.25">
      <c r="A18" s="1"/>
      <c r="B18" s="1"/>
      <c r="C18" s="6" t="s">
        <v>7</v>
      </c>
      <c r="D18" s="52" t="s">
        <v>16</v>
      </c>
      <c r="E18" s="53"/>
      <c r="F18" s="53"/>
      <c r="G18" s="54"/>
      <c r="H18" s="1"/>
      <c r="I18" s="1"/>
    </row>
    <row r="19" spans="1:9" x14ac:dyDescent="0.25">
      <c r="A19" s="1"/>
      <c r="B19" s="1"/>
      <c r="C19" s="6" t="s">
        <v>8</v>
      </c>
      <c r="D19" s="46" t="s">
        <v>97</v>
      </c>
      <c r="E19" s="47"/>
      <c r="F19" s="47"/>
      <c r="G19" s="48"/>
      <c r="H19" s="1"/>
      <c r="I19" s="1"/>
    </row>
    <row r="20" spans="1:9" x14ac:dyDescent="0.25">
      <c r="A20" s="1"/>
      <c r="B20" s="1"/>
      <c r="C20" s="6" t="s">
        <v>123</v>
      </c>
      <c r="D20" s="46" t="s">
        <v>152</v>
      </c>
      <c r="E20" s="47"/>
      <c r="F20" s="47"/>
      <c r="G20" s="48"/>
      <c r="H20" s="1"/>
      <c r="I20" s="1"/>
    </row>
    <row r="21" spans="1:9" x14ac:dyDescent="0.25">
      <c r="A21" s="1"/>
      <c r="B21" s="1"/>
      <c r="C21" s="6" t="s">
        <v>82</v>
      </c>
      <c r="D21" s="46" t="s">
        <v>51</v>
      </c>
      <c r="E21" s="47"/>
      <c r="F21" s="47"/>
      <c r="G21" s="48"/>
      <c r="H21" s="1"/>
      <c r="I21" s="1"/>
    </row>
    <row r="22" spans="1:9" x14ac:dyDescent="0.25">
      <c r="A22" s="1"/>
      <c r="B22" s="1"/>
      <c r="C22" s="6" t="s">
        <v>124</v>
      </c>
      <c r="D22" s="46" t="s">
        <v>83</v>
      </c>
      <c r="E22" s="47"/>
      <c r="F22" s="47"/>
      <c r="G22" s="48"/>
      <c r="H22" s="1"/>
      <c r="I22" s="1"/>
    </row>
    <row r="23" spans="1:9" x14ac:dyDescent="0.25">
      <c r="A23" s="1"/>
      <c r="B23" s="1"/>
      <c r="C23" s="6" t="s">
        <v>125</v>
      </c>
      <c r="D23" s="46" t="s">
        <v>84</v>
      </c>
      <c r="E23" s="47"/>
      <c r="F23" s="47"/>
      <c r="G23" s="48"/>
      <c r="H23" s="1"/>
      <c r="I23" s="1"/>
    </row>
    <row r="24" spans="1:9" x14ac:dyDescent="0.25">
      <c r="A24" s="1"/>
      <c r="B24" s="1"/>
      <c r="C24" s="6" t="s">
        <v>9</v>
      </c>
      <c r="D24" s="46" t="s">
        <v>52</v>
      </c>
      <c r="E24" s="47"/>
      <c r="F24" s="47"/>
      <c r="G24" s="48"/>
      <c r="H24" s="1"/>
      <c r="I24" s="1"/>
    </row>
    <row r="25" spans="1:9" x14ac:dyDescent="0.25">
      <c r="A25" s="1"/>
      <c r="B25" s="1"/>
      <c r="C25" s="6" t="s">
        <v>96</v>
      </c>
      <c r="D25" s="46" t="s">
        <v>53</v>
      </c>
      <c r="E25" s="47"/>
      <c r="F25" s="47"/>
      <c r="G25" s="48"/>
      <c r="H25" s="1"/>
      <c r="I25" s="1"/>
    </row>
    <row r="26" spans="1:9" x14ac:dyDescent="0.25">
      <c r="A26" s="1"/>
      <c r="B26" s="1"/>
      <c r="C26" s="6" t="s">
        <v>126</v>
      </c>
      <c r="D26" s="55" t="s">
        <v>10</v>
      </c>
      <c r="E26" s="56"/>
      <c r="F26" s="56"/>
      <c r="G26" s="57"/>
      <c r="H26" s="1"/>
      <c r="I26" s="1"/>
    </row>
    <row r="27" spans="1:9" x14ac:dyDescent="0.25">
      <c r="A27" s="1"/>
      <c r="B27" s="1"/>
      <c r="C27" s="6" t="s">
        <v>21</v>
      </c>
      <c r="D27" s="49" t="s">
        <v>127</v>
      </c>
      <c r="E27" s="50"/>
      <c r="F27" s="50"/>
      <c r="G27" s="5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9zg4XdxoxQo8yF4j6EW6UFGngFYKiNf936z6S5zCuAytxOs2Vy6AAETqPU1Kjj3AuyVkRmlLweHP0TND+8EL5A==" saltValue="WCGnhXyvS/XNAosw52IlFg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156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157</v>
      </c>
      <c r="C8" s="76"/>
      <c r="D8" s="76"/>
      <c r="E8" s="76"/>
      <c r="F8" s="76"/>
      <c r="G8" s="76"/>
      <c r="H8" s="77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4" t="s">
        <v>2</v>
      </c>
      <c r="F9" s="34" t="s">
        <v>15</v>
      </c>
      <c r="G9" s="34" t="s">
        <v>41</v>
      </c>
      <c r="H9" s="43"/>
      <c r="I9" s="1"/>
    </row>
    <row r="10" spans="1:9" x14ac:dyDescent="0.25">
      <c r="A10" s="1"/>
      <c r="B10" s="98" t="s">
        <v>161</v>
      </c>
      <c r="C10" s="99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5" t="s">
        <v>158</v>
      </c>
      <c r="C11" s="76"/>
      <c r="D11" s="77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rmj1aMatG/B1yf72u+9K9vnQTpElshvdWpnfaUYuAkyU81Iaq/II1qpf3tS1o0At2FX29EgQkCYkoFK7NapEAQ==" saltValue="1EQhoJSkgrm7bEdXwiRfI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120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79</v>
      </c>
      <c r="C8" s="24"/>
      <c r="D8" s="24"/>
      <c r="E8" s="24"/>
      <c r="F8" s="45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3"/>
      <c r="G9" s="1"/>
    </row>
    <row r="10" spans="1:7" x14ac:dyDescent="0.25">
      <c r="A10" s="1"/>
      <c r="B10" s="22" t="s">
        <v>162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4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ZpVO5fRCL+Kp2VbJ0IBpGEoPp78C3bjQuVfBDwRDHDVODRDA1iMZ7tZeK+kO+zIVHp9Xi+4G9SuOdOrgupXi0A==" saltValue="W0vPZNlkO5xmDDJN2satX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121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102</v>
      </c>
      <c r="C8" s="76"/>
      <c r="D8" s="76"/>
      <c r="E8" s="76"/>
      <c r="F8" s="77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3"/>
      <c r="G9" s="1"/>
    </row>
    <row r="10" spans="1:7" x14ac:dyDescent="0.25">
      <c r="A10" s="1"/>
      <c r="B10" s="22" t="s">
        <v>151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4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5" t="s">
        <v>103</v>
      </c>
      <c r="C15" s="76"/>
      <c r="D15" s="76"/>
      <c r="E15" s="76"/>
      <c r="F15" s="77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3"/>
      <c r="G16" s="1"/>
    </row>
    <row r="17" spans="1:7" x14ac:dyDescent="0.25">
      <c r="A17" s="1"/>
      <c r="B17" s="22" t="s">
        <v>151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4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4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5" t="s">
        <v>104</v>
      </c>
      <c r="C22" s="76"/>
      <c r="D22" s="76"/>
      <c r="E22" s="76"/>
      <c r="F22" s="77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3"/>
      <c r="G23" s="1"/>
    </row>
    <row r="24" spans="1:7" x14ac:dyDescent="0.25">
      <c r="A24" s="1"/>
      <c r="B24" s="22" t="s">
        <v>151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4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4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5" t="s">
        <v>105</v>
      </c>
      <c r="C29" s="76"/>
      <c r="D29" s="76"/>
      <c r="E29" s="76"/>
      <c r="F29" s="77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3"/>
      <c r="G30" s="1"/>
    </row>
    <row r="31" spans="1:7" x14ac:dyDescent="0.25">
      <c r="A31" s="1"/>
      <c r="B31" s="22" t="s">
        <v>151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4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4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p6w53aOHofYetR+sWQBooFiEXCUphkuUKJH62x1thENvafqIp+NHupblfJW5xDP7TQGmIAxH8Zz5G4NFhwbmXw==" saltValue="XeIBfLKCQQmORLg8FHwFx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134</v>
      </c>
      <c r="C3" s="69"/>
      <c r="D3" s="69"/>
      <c r="E3" s="69"/>
      <c r="F3" s="69"/>
      <c r="G3" s="1"/>
    </row>
    <row r="4" spans="1:7" ht="25.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32</v>
      </c>
      <c r="C8" s="76"/>
      <c r="D8" s="76"/>
      <c r="E8" s="76"/>
      <c r="F8" s="77"/>
      <c r="G8" s="1"/>
    </row>
    <row r="9" spans="1:7" ht="15" customHeight="1" x14ac:dyDescent="0.25">
      <c r="A9" s="1"/>
      <c r="B9" s="42" t="s">
        <v>33</v>
      </c>
      <c r="C9" s="87" t="s">
        <v>15</v>
      </c>
      <c r="D9" s="88"/>
      <c r="E9" s="87" t="s">
        <v>42</v>
      </c>
      <c r="F9" s="88"/>
      <c r="G9" s="1"/>
    </row>
    <row r="10" spans="1:7" x14ac:dyDescent="0.25">
      <c r="A10" s="1"/>
      <c r="B10" s="22" t="s">
        <v>159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MAqkBGkpNON0HfsfU+RAfUZLcsVjnpM3y4om4UJpI1Is0z11n3MjjYt3RvhqEhJQQ0cVRlu+FL/HIpDEeZgFEA==" saltValue="e3cFq8zvKzi1OpDatQUDG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135</v>
      </c>
      <c r="C3" s="69"/>
      <c r="D3" s="69"/>
      <c r="E3" s="69"/>
      <c r="F3" s="69"/>
      <c r="G3" s="1"/>
    </row>
    <row r="4" spans="1:7" ht="25.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91</v>
      </c>
      <c r="C8" s="76"/>
      <c r="D8" s="76"/>
      <c r="E8" s="76"/>
      <c r="F8" s="77"/>
      <c r="G8" s="1"/>
    </row>
    <row r="9" spans="1:7" ht="15" customHeight="1" x14ac:dyDescent="0.25">
      <c r="A9" s="1"/>
      <c r="B9" s="42" t="s">
        <v>25</v>
      </c>
      <c r="C9" s="42" t="s">
        <v>15</v>
      </c>
      <c r="D9" s="43"/>
      <c r="E9" s="42" t="s">
        <v>42</v>
      </c>
      <c r="F9" s="43"/>
      <c r="G9" s="1"/>
    </row>
    <row r="10" spans="1:7" x14ac:dyDescent="0.25">
      <c r="A10" s="1"/>
      <c r="B10" s="22" t="s">
        <v>160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5" t="s">
        <v>92</v>
      </c>
      <c r="C14" s="76"/>
      <c r="D14" s="76"/>
      <c r="E14" s="76"/>
      <c r="F14" s="77"/>
      <c r="G14" s="1"/>
    </row>
    <row r="15" spans="1:7" ht="26.25" x14ac:dyDescent="0.25">
      <c r="A15" s="1"/>
      <c r="B15" s="42" t="s">
        <v>25</v>
      </c>
      <c r="C15" s="42" t="s">
        <v>15</v>
      </c>
      <c r="D15" s="43"/>
      <c r="E15" s="42" t="s">
        <v>42</v>
      </c>
      <c r="F15" s="43"/>
      <c r="G15" s="1"/>
    </row>
    <row r="16" spans="1:7" x14ac:dyDescent="0.25">
      <c r="A16" s="1"/>
      <c r="B16" s="22" t="s">
        <v>160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4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4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5" t="s">
        <v>90</v>
      </c>
      <c r="C20" s="76"/>
      <c r="D20" s="76"/>
      <c r="E20" s="76"/>
      <c r="F20" s="77"/>
      <c r="G20" s="1"/>
    </row>
    <row r="21" spans="1:7" ht="26.25" x14ac:dyDescent="0.25">
      <c r="A21" s="1"/>
      <c r="B21" s="42" t="s">
        <v>25</v>
      </c>
      <c r="C21" s="42" t="s">
        <v>15</v>
      </c>
      <c r="D21" s="43"/>
      <c r="E21" s="42" t="s">
        <v>42</v>
      </c>
      <c r="F21" s="43"/>
      <c r="G21" s="1"/>
    </row>
    <row r="22" spans="1:7" x14ac:dyDescent="0.25">
      <c r="A22" s="1"/>
      <c r="B22" s="22" t="s">
        <v>160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4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4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5" t="s">
        <v>93</v>
      </c>
      <c r="C26" s="76"/>
      <c r="D26" s="76"/>
      <c r="E26" s="76"/>
      <c r="F26" s="77"/>
      <c r="G26" s="1"/>
    </row>
    <row r="27" spans="1:7" ht="26.25" x14ac:dyDescent="0.25">
      <c r="A27" s="1"/>
      <c r="B27" s="42" t="s">
        <v>25</v>
      </c>
      <c r="C27" s="42" t="s">
        <v>15</v>
      </c>
      <c r="D27" s="43"/>
      <c r="E27" s="42" t="s">
        <v>42</v>
      </c>
      <c r="F27" s="43"/>
      <c r="G27" s="1"/>
    </row>
    <row r="28" spans="1:7" x14ac:dyDescent="0.25">
      <c r="A28" s="1"/>
      <c r="B28" s="22" t="s">
        <v>160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4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4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NzabNcpzbi16KMa7zdgPk/obYbTyUqwhFgY/MUgaMhDYSyS1m+lGA1KRcv+Cxqm7vnfzUIDbDbqxeqKFmoojLg==" saltValue="vR3EYGL4eSvKCSfX6IF1J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136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17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9" t="s">
        <v>11</v>
      </c>
      <c r="C9" s="90"/>
      <c r="D9" s="90"/>
      <c r="E9" s="90"/>
      <c r="F9" s="91"/>
      <c r="G9" s="8">
        <v>6960890</v>
      </c>
      <c r="H9" s="12" t="s">
        <v>3</v>
      </c>
      <c r="I9" s="1"/>
    </row>
    <row r="10" spans="1:9" x14ac:dyDescent="0.25">
      <c r="A10" s="1"/>
      <c r="B10" s="89" t="s">
        <v>77</v>
      </c>
      <c r="C10" s="90"/>
      <c r="D10" s="90"/>
      <c r="E10" s="90"/>
      <c r="F10" s="91"/>
      <c r="G10" s="8">
        <v>0</v>
      </c>
      <c r="H10" s="12" t="s">
        <v>3</v>
      </c>
      <c r="I10" s="1"/>
    </row>
    <row r="11" spans="1:9" x14ac:dyDescent="0.25">
      <c r="A11" s="1"/>
      <c r="B11" s="89" t="s">
        <v>69</v>
      </c>
      <c r="C11" s="90"/>
      <c r="D11" s="90"/>
      <c r="E11" s="90"/>
      <c r="F11" s="91"/>
      <c r="G11" s="8">
        <v>-6261408.4867724869</v>
      </c>
      <c r="H11" s="12" t="s">
        <v>3</v>
      </c>
      <c r="I11" s="1"/>
    </row>
    <row r="12" spans="1:9" x14ac:dyDescent="0.25">
      <c r="A12" s="1"/>
      <c r="B12" s="92" t="s">
        <v>14</v>
      </c>
      <c r="C12" s="93"/>
      <c r="D12" s="93"/>
      <c r="E12" s="93"/>
      <c r="F12" s="94"/>
      <c r="G12" s="17">
        <f>(G9+G10)+G11</f>
        <v>699481.51322751306</v>
      </c>
      <c r="H12" s="16" t="s">
        <v>3</v>
      </c>
      <c r="I12" s="1"/>
    </row>
    <row r="13" spans="1:9" x14ac:dyDescent="0.25">
      <c r="A13" s="1"/>
      <c r="B13" s="89" t="s">
        <v>12</v>
      </c>
      <c r="C13" s="90"/>
      <c r="D13" s="90"/>
      <c r="E13" s="90"/>
      <c r="F13" s="91"/>
      <c r="G13" s="8">
        <v>1</v>
      </c>
      <c r="H13" s="12" t="s">
        <v>27</v>
      </c>
      <c r="I13" s="1"/>
    </row>
    <row r="14" spans="1:9" x14ac:dyDescent="0.25">
      <c r="A14" s="1"/>
      <c r="B14" s="75" t="s">
        <v>78</v>
      </c>
      <c r="C14" s="76"/>
      <c r="D14" s="76"/>
      <c r="E14" s="76"/>
      <c r="F14" s="77"/>
      <c r="G14" s="10">
        <f>IF(G13 = 0,0,-G12/G13)</f>
        <v>-699481.51322751306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3BBWOztiJkeOZuDib9xWImnsdMLaTdnwJ7L3FgYYVDxoEjII98aKcbvL2KY5HSTOYdKnZwgkcc4pB7tUem+FLg==" saltValue="oFQe3vqDBX7C9CAwHQg/A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69" t="s">
        <v>137</v>
      </c>
      <c r="C3" s="69"/>
      <c r="D3" s="1"/>
    </row>
    <row r="4" spans="1:4" ht="25.5" customHeight="1" x14ac:dyDescent="0.25">
      <c r="A4" s="1"/>
      <c r="B4" s="69"/>
      <c r="C4" s="6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4" t="s">
        <v>20</v>
      </c>
      <c r="C8" s="45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4"/>
      <c r="C13" s="45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4" t="s">
        <v>115</v>
      </c>
      <c r="C16" s="45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5"/>
      <c r="C18" s="96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wrKnjUv4HLTjOQe8VcQkjUR5WtZiZdMBiSzyVJBVa+XzoT+1lOu/i/tl/ZgPaLOv8+47366gd42K9WffBZsnvw==" saltValue="T36qtUSCkBxXeuNAXLDvzg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56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19</v>
      </c>
      <c r="C8" s="40"/>
      <c r="D8" s="40"/>
      <c r="E8" s="40"/>
      <c r="F8" s="40"/>
      <c r="G8" s="1"/>
    </row>
    <row r="9" spans="1:7" x14ac:dyDescent="0.25">
      <c r="A9" s="1"/>
      <c r="B9" s="36" t="s">
        <v>35</v>
      </c>
      <c r="C9" s="36"/>
      <c r="D9" s="36"/>
      <c r="E9" s="7">
        <f>'Fane 3. Omkostninger i ØR2019'!E15</f>
        <v>1803790.0662791647</v>
      </c>
      <c r="F9" s="36" t="s">
        <v>3</v>
      </c>
      <c r="G9" s="1"/>
    </row>
    <row r="10" spans="1:7" x14ac:dyDescent="0.25">
      <c r="A10" s="1"/>
      <c r="B10" s="38" t="s">
        <v>140</v>
      </c>
      <c r="C10" s="36"/>
      <c r="D10" s="36"/>
      <c r="E10" s="7">
        <f>'Fane 3. Omkostninger i ØR2019'!E10*(1-'Fane 12. Nøgletal'!C17)*(1+'Fane 12. Nøgletal'!C10)</f>
        <v>0</v>
      </c>
      <c r="F10" s="36" t="s">
        <v>3</v>
      </c>
      <c r="G10" s="1"/>
    </row>
    <row r="11" spans="1:7" x14ac:dyDescent="0.25">
      <c r="A11" s="1"/>
      <c r="B11" s="38" t="s">
        <v>143</v>
      </c>
      <c r="C11" s="36"/>
      <c r="D11" s="36"/>
      <c r="E11" s="7">
        <f>('Fane 3. Omkostninger i ØR2019'!E11+'Fane 3. Omkostninger i ØR2019'!E12)*(1-'Fane 12. Nøgletal'!C17)*(1+'Fane 12. Nøgletal'!C11)</f>
        <v>0</v>
      </c>
      <c r="F11" s="36" t="s">
        <v>3</v>
      </c>
      <c r="G11" s="1"/>
    </row>
    <row r="12" spans="1:7" ht="17.100000000000001" customHeight="1" x14ac:dyDescent="0.25">
      <c r="A12" s="1"/>
      <c r="B12" s="31" t="s">
        <v>141</v>
      </c>
      <c r="C12" s="36"/>
      <c r="D12" s="36"/>
      <c r="E12" s="7">
        <f>'Fane 8.1. Varige tillæg'!C12+'Fane 8.1. Varige tillæg'!E12</f>
        <v>0</v>
      </c>
      <c r="F12" s="36" t="s">
        <v>3</v>
      </c>
      <c r="G12" s="1"/>
    </row>
    <row r="13" spans="1:7" ht="17.100000000000001" customHeight="1" x14ac:dyDescent="0.25">
      <c r="A13" s="1"/>
      <c r="B13" s="31" t="s">
        <v>144</v>
      </c>
      <c r="C13" s="36"/>
      <c r="D13" s="36"/>
      <c r="E13" s="8">
        <f>-('Fane 10. Bortfald'!C12+'Fane 10. Bortfald'!E12)</f>
        <v>0</v>
      </c>
      <c r="F13" s="36" t="s">
        <v>3</v>
      </c>
      <c r="G13" s="1"/>
    </row>
    <row r="14" spans="1:7" ht="17.100000000000001" customHeight="1" x14ac:dyDescent="0.25">
      <c r="A14" s="1"/>
      <c r="B14" s="31" t="s">
        <v>111</v>
      </c>
      <c r="C14" s="36"/>
      <c r="D14" s="36"/>
      <c r="E14" s="8">
        <f>'Fane 9. Tilknyttet aktivitet'!C12+'Fane 9. Tilknyttet aktivitet'!E12</f>
        <v>0</v>
      </c>
      <c r="F14" s="36" t="s">
        <v>3</v>
      </c>
      <c r="G14" s="1"/>
    </row>
    <row r="15" spans="1:7" ht="17.100000000000001" customHeight="1" x14ac:dyDescent="0.25">
      <c r="A15" s="1"/>
      <c r="B15" s="31" t="s">
        <v>26</v>
      </c>
      <c r="C15" s="36"/>
      <c r="D15" s="36"/>
      <c r="E15" s="8">
        <f>(E9-SUM(E10:E11))*'Fane 12. Nøgletal'!C9+E10*'Fane 12. Nøgletal'!C10+E11*'Fane 12. Nøgletal'!C11+SUM(E12:E14)*'Fane 12. Nøgletal'!C12</f>
        <v>22908.133841745392</v>
      </c>
      <c r="F15" s="36" t="s">
        <v>3</v>
      </c>
      <c r="G15" s="1"/>
    </row>
    <row r="16" spans="1:7" ht="17.100000000000001" customHeight="1" x14ac:dyDescent="0.25">
      <c r="A16" s="1"/>
      <c r="B16" s="31" t="s">
        <v>115</v>
      </c>
      <c r="C16" s="36"/>
      <c r="D16" s="36"/>
      <c r="E16" s="8">
        <f>-SUM(E9,E12:E15)*'Fane 12. Nøgletal'!C17</f>
        <v>-31053.869402055472</v>
      </c>
      <c r="F16" s="36" t="s">
        <v>3</v>
      </c>
      <c r="G16" s="1"/>
    </row>
    <row r="17" spans="1:7" ht="17.100000000000001" customHeight="1" x14ac:dyDescent="0.25">
      <c r="A17" s="1"/>
      <c r="B17" s="41" t="s">
        <v>28</v>
      </c>
      <c r="C17" s="39"/>
      <c r="D17" s="39"/>
      <c r="E17" s="9">
        <f>SUM(E9,E12:E16)</f>
        <v>1795644.3307188547</v>
      </c>
      <c r="F17" s="34" t="s">
        <v>3</v>
      </c>
      <c r="G17" s="1"/>
    </row>
    <row r="18" spans="1:7" ht="15" customHeight="1" x14ac:dyDescent="0.25">
      <c r="A18" s="1"/>
      <c r="B18" s="40" t="s">
        <v>16</v>
      </c>
      <c r="C18" s="40"/>
      <c r="D18" s="40"/>
      <c r="E18" s="40"/>
      <c r="F18" s="40"/>
      <c r="G18" s="1"/>
    </row>
    <row r="19" spans="1:7" ht="15" customHeight="1" x14ac:dyDescent="0.25">
      <c r="A19" s="1"/>
      <c r="B19" s="34" t="s">
        <v>16</v>
      </c>
      <c r="C19" s="34"/>
      <c r="D19" s="34"/>
      <c r="E19" s="9">
        <f>'Fane 4. Ikke-påvirkelige omk.'!C15</f>
        <v>1590100.0957848602</v>
      </c>
      <c r="F19" s="34" t="s">
        <v>3</v>
      </c>
      <c r="G19" s="1"/>
    </row>
    <row r="20" spans="1:7" ht="15" customHeight="1" x14ac:dyDescent="0.25">
      <c r="A20" s="1"/>
      <c r="B20" s="40" t="s">
        <v>84</v>
      </c>
      <c r="C20" s="40"/>
      <c r="D20" s="40"/>
      <c r="E20" s="40"/>
      <c r="F20" s="40"/>
      <c r="G20" s="1"/>
    </row>
    <row r="21" spans="1:7" ht="15" customHeight="1" x14ac:dyDescent="0.25">
      <c r="A21" s="1"/>
      <c r="B21" s="31" t="s">
        <v>80</v>
      </c>
      <c r="C21" s="36"/>
      <c r="D21" s="36"/>
      <c r="E21" s="8">
        <f>'Fane 8.2. Engangstillæg'!C13</f>
        <v>0</v>
      </c>
      <c r="F21" s="36" t="s">
        <v>3</v>
      </c>
      <c r="G21" s="1"/>
    </row>
    <row r="22" spans="1:7" ht="15" customHeight="1" x14ac:dyDescent="0.25">
      <c r="A22" s="1"/>
      <c r="B22" s="31" t="s">
        <v>81</v>
      </c>
      <c r="C22" s="36"/>
      <c r="D22" s="36"/>
      <c r="E22" s="8">
        <f>'Fane 8.2. Engangstillæg'!E13</f>
        <v>0</v>
      </c>
      <c r="F22" s="36" t="s">
        <v>3</v>
      </c>
      <c r="G22" s="1"/>
    </row>
    <row r="23" spans="1:7" x14ac:dyDescent="0.25">
      <c r="A23" s="1"/>
      <c r="B23" s="41" t="s">
        <v>85</v>
      </c>
      <c r="C23" s="39"/>
      <c r="D23" s="39"/>
      <c r="E23" s="9">
        <f>SUM(E21:E22)</f>
        <v>0</v>
      </c>
      <c r="F23" s="34" t="s">
        <v>3</v>
      </c>
      <c r="G23" s="1"/>
    </row>
    <row r="24" spans="1:7" x14ac:dyDescent="0.25">
      <c r="A24" s="1"/>
      <c r="B24" s="40" t="s">
        <v>10</v>
      </c>
      <c r="C24" s="40"/>
      <c r="D24" s="40"/>
      <c r="E24" s="40"/>
      <c r="F24" s="40"/>
      <c r="G24" s="1"/>
    </row>
    <row r="25" spans="1:7" ht="15" customHeight="1" x14ac:dyDescent="0.25">
      <c r="A25" s="1"/>
      <c r="B25" s="34" t="s">
        <v>18</v>
      </c>
      <c r="C25" s="34"/>
      <c r="D25" s="34"/>
      <c r="E25" s="9">
        <f>'Fane 11. Hist. over-underdæk.'!G14</f>
        <v>-699481.51322751306</v>
      </c>
      <c r="F25" s="34" t="s">
        <v>3</v>
      </c>
      <c r="G25" s="1"/>
    </row>
    <row r="26" spans="1:7" ht="15" customHeight="1" x14ac:dyDescent="0.25">
      <c r="A26" s="1"/>
      <c r="B26" s="40" t="s">
        <v>152</v>
      </c>
      <c r="C26" s="40"/>
      <c r="D26" s="40"/>
      <c r="E26" s="40"/>
      <c r="F26" s="40"/>
      <c r="G26" s="1"/>
    </row>
    <row r="27" spans="1:7" x14ac:dyDescent="0.25">
      <c r="A27" s="1"/>
      <c r="B27" s="34" t="s">
        <v>153</v>
      </c>
      <c r="C27" s="34"/>
      <c r="D27" s="34"/>
      <c r="E27" s="9">
        <f>'Fane 6. Korrektioner'!E10</f>
        <v>0</v>
      </c>
      <c r="F27" s="34" t="s">
        <v>3</v>
      </c>
      <c r="G27" s="1"/>
    </row>
    <row r="28" spans="1:7" x14ac:dyDescent="0.25">
      <c r="A28" s="1"/>
      <c r="B28" s="40" t="s">
        <v>36</v>
      </c>
      <c r="C28" s="40"/>
      <c r="D28" s="40"/>
      <c r="E28" s="10">
        <f>SUM(E17,E19,E23,E25,E27)</f>
        <v>2686262.913276202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3Uf2mRUtsq8KSu7qgJY4ZXOK6ZGHg/6rSwnruB8uYCx86bEK5+r5Qn6qlfTwzfXJvmVl7Op/Pmq9thBBLwxC6Q==" saltValue="iEeFJMelAxaW7xRJ3k4xl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73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19</v>
      </c>
      <c r="C8" s="40"/>
      <c r="D8" s="40"/>
      <c r="E8" s="40"/>
      <c r="F8" s="40"/>
      <c r="G8" s="1"/>
    </row>
    <row r="9" spans="1:7" ht="15" customHeight="1" x14ac:dyDescent="0.25">
      <c r="A9" s="1"/>
      <c r="B9" s="36" t="s">
        <v>37</v>
      </c>
      <c r="C9" s="36"/>
      <c r="D9" s="36"/>
      <c r="E9" s="7">
        <f>'Fane 2.1. Økonomisk ramme 2020'!E17</f>
        <v>1795644.3307188547</v>
      </c>
      <c r="F9" s="36" t="s">
        <v>3</v>
      </c>
      <c r="G9" s="1"/>
    </row>
    <row r="10" spans="1:7" ht="15" customHeight="1" x14ac:dyDescent="0.25">
      <c r="A10" s="1"/>
      <c r="B10" s="36" t="s">
        <v>163</v>
      </c>
      <c r="C10" s="36"/>
      <c r="D10" s="36"/>
      <c r="E10" s="7">
        <v>-57205.569221396225</v>
      </c>
      <c r="F10" s="36" t="s">
        <v>3</v>
      </c>
      <c r="G10" s="1"/>
    </row>
    <row r="11" spans="1:7" ht="15" customHeight="1" x14ac:dyDescent="0.25">
      <c r="A11" s="1"/>
      <c r="B11" s="31" t="s">
        <v>144</v>
      </c>
      <c r="C11" s="36"/>
      <c r="D11" s="36"/>
      <c r="E11" s="7">
        <f>-('Fane 10. Bortfald'!C18+'Fane 10. Bortfald'!E18)</f>
        <v>0</v>
      </c>
      <c r="F11" s="36" t="s">
        <v>3</v>
      </c>
      <c r="G11" s="1"/>
    </row>
    <row r="12" spans="1:7" ht="15" customHeight="1" x14ac:dyDescent="0.25">
      <c r="A12" s="1"/>
      <c r="B12" s="37" t="s">
        <v>26</v>
      </c>
      <c r="C12" s="36"/>
      <c r="D12" s="36"/>
      <c r="E12" s="8">
        <f>SUM(E9:E11)*'Fane 12. Nøgletal'!C12</f>
        <v>34247.243601499926</v>
      </c>
      <c r="F12" s="36" t="s">
        <v>3</v>
      </c>
      <c r="G12" s="1"/>
    </row>
    <row r="13" spans="1:7" ht="15" customHeight="1" x14ac:dyDescent="0.25">
      <c r="A13" s="1"/>
      <c r="B13" s="37" t="s">
        <v>115</v>
      </c>
      <c r="C13" s="36"/>
      <c r="D13" s="36"/>
      <c r="E13" s="8">
        <f>-SUM(E9:E12)*'Fane 12. Nøgletal'!C17</f>
        <v>-30135.662086682292</v>
      </c>
      <c r="F13" s="36" t="s">
        <v>3</v>
      </c>
      <c r="G13" s="1"/>
    </row>
    <row r="14" spans="1:7" ht="15" customHeight="1" x14ac:dyDescent="0.25">
      <c r="A14" s="1"/>
      <c r="B14" s="39" t="s">
        <v>28</v>
      </c>
      <c r="C14" s="39"/>
      <c r="D14" s="39"/>
      <c r="E14" s="9">
        <f>SUM(E9:E13)</f>
        <v>1742550.3430122759</v>
      </c>
      <c r="F14" s="34" t="s">
        <v>3</v>
      </c>
      <c r="G14" s="1"/>
    </row>
    <row r="15" spans="1:7" x14ac:dyDescent="0.25">
      <c r="A15" s="1"/>
      <c r="B15" s="40" t="s">
        <v>16</v>
      </c>
      <c r="C15" s="40"/>
      <c r="D15" s="40"/>
      <c r="E15" s="40"/>
      <c r="F15" s="40"/>
      <c r="G15" s="1"/>
    </row>
    <row r="16" spans="1:7" ht="15" customHeight="1" x14ac:dyDescent="0.25">
      <c r="A16" s="1"/>
      <c r="B16" s="34" t="s">
        <v>16</v>
      </c>
      <c r="C16" s="34"/>
      <c r="D16" s="34"/>
      <c r="E16" s="9">
        <f>'Fane 4. Ikke-påvirkelige omk.'!C15*(1+'Fane 12. Nøgletal'!C12)</f>
        <v>1621425.0676718219</v>
      </c>
      <c r="F16" s="34" t="s">
        <v>3</v>
      </c>
      <c r="G16" s="1"/>
    </row>
    <row r="17" spans="1:7" ht="15" customHeight="1" x14ac:dyDescent="0.25">
      <c r="A17" s="1"/>
      <c r="B17" s="40" t="s">
        <v>84</v>
      </c>
      <c r="C17" s="40"/>
      <c r="D17" s="40"/>
      <c r="E17" s="40"/>
      <c r="F17" s="40"/>
      <c r="G17" s="1"/>
    </row>
    <row r="18" spans="1:7" ht="15" customHeight="1" x14ac:dyDescent="0.25">
      <c r="A18" s="1"/>
      <c r="B18" s="31" t="s">
        <v>80</v>
      </c>
      <c r="C18" s="36"/>
      <c r="D18" s="36"/>
      <c r="E18" s="8">
        <f>'Fane 8.2. Engangstillæg'!C20</f>
        <v>0</v>
      </c>
      <c r="F18" s="36" t="s">
        <v>3</v>
      </c>
      <c r="G18" s="1"/>
    </row>
    <row r="19" spans="1:7" ht="15" customHeight="1" x14ac:dyDescent="0.25">
      <c r="A19" s="1"/>
      <c r="B19" s="31" t="s">
        <v>81</v>
      </c>
      <c r="C19" s="36"/>
      <c r="D19" s="36"/>
      <c r="E19" s="8">
        <f>'Fane 8.2. Engangstillæg'!E20</f>
        <v>0</v>
      </c>
      <c r="F19" s="36" t="s">
        <v>3</v>
      </c>
      <c r="G19" s="1"/>
    </row>
    <row r="20" spans="1:7" ht="15" customHeight="1" x14ac:dyDescent="0.25">
      <c r="A20" s="1"/>
      <c r="B20" s="41" t="s">
        <v>85</v>
      </c>
      <c r="C20" s="39"/>
      <c r="D20" s="39"/>
      <c r="E20" s="9">
        <f>SUM(E18:E19)</f>
        <v>0</v>
      </c>
      <c r="F20" s="34" t="s">
        <v>3</v>
      </c>
      <c r="G20" s="1"/>
    </row>
    <row r="21" spans="1:7" x14ac:dyDescent="0.25">
      <c r="A21" s="1"/>
      <c r="B21" s="40" t="s">
        <v>95</v>
      </c>
      <c r="C21" s="40"/>
      <c r="D21" s="40"/>
      <c r="E21" s="40"/>
      <c r="F21" s="40"/>
      <c r="G21" s="1"/>
    </row>
    <row r="22" spans="1:7" ht="15" customHeight="1" x14ac:dyDescent="0.25">
      <c r="A22" s="1"/>
      <c r="B22" s="34" t="s">
        <v>131</v>
      </c>
      <c r="C22" s="34"/>
      <c r="D22" s="34"/>
      <c r="E22" s="9">
        <f>'Fane 5. Kontrol af ØR2018'!E35</f>
        <v>-122991.08104108612</v>
      </c>
      <c r="F22" s="34" t="s">
        <v>3</v>
      </c>
      <c r="G22" s="1"/>
    </row>
    <row r="23" spans="1:7" x14ac:dyDescent="0.25">
      <c r="A23" s="1"/>
      <c r="B23" s="40" t="s">
        <v>39</v>
      </c>
      <c r="C23" s="40"/>
      <c r="D23" s="40"/>
      <c r="E23" s="10">
        <f>SUM(E14,E16,E20,E22)</f>
        <v>3240984.3296430116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5aUuquhe6FQfNe0xq33kPcM9Q0Uf/j13eNrN8mRG5OtbSL03Zf2DO7DtZR3lGHfugdaP5whLmUJ0SVRaLGBGSg==" saltValue="pzbR+virAt7dR1PzItbm1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19</v>
      </c>
      <c r="C7" s="40"/>
      <c r="D7" s="40"/>
      <c r="E7" s="40"/>
      <c r="F7" s="40"/>
      <c r="G7" s="1"/>
    </row>
    <row r="8" spans="1:7" ht="15" customHeight="1" x14ac:dyDescent="0.25">
      <c r="A8" s="1"/>
      <c r="B8" s="36" t="s">
        <v>37</v>
      </c>
      <c r="C8" s="36"/>
      <c r="D8" s="36"/>
      <c r="E8" s="7">
        <f>'Fane 2.2. Økonomisk ramme 2021'!E14</f>
        <v>1742550.3430122759</v>
      </c>
      <c r="F8" s="36" t="s">
        <v>3</v>
      </c>
      <c r="G8" s="1"/>
    </row>
    <row r="9" spans="1:7" ht="15" customHeight="1" x14ac:dyDescent="0.25">
      <c r="A9" s="1"/>
      <c r="B9" s="36" t="s">
        <v>144</v>
      </c>
      <c r="C9" s="36"/>
      <c r="D9" s="36"/>
      <c r="E9" s="7">
        <f>-('Fane 10. Bortfald'!C24+'Fane 10. Bortfald'!E24)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SUM(E8:E9)*'Fane 12. Nøgletal'!C12</f>
        <v>34328.241757341835</v>
      </c>
      <c r="F10" s="36" t="s">
        <v>3</v>
      </c>
      <c r="G10" s="1"/>
    </row>
    <row r="11" spans="1:7" ht="15" customHeight="1" x14ac:dyDescent="0.25">
      <c r="A11" s="1"/>
      <c r="B11" s="37" t="s">
        <v>115</v>
      </c>
      <c r="C11" s="36"/>
      <c r="D11" s="36"/>
      <c r="E11" s="8">
        <f>-SUM(E8:E10)*'Fane 12. Nøgletal'!C17</f>
        <v>-30206.935941083506</v>
      </c>
      <c r="F11" s="36" t="s">
        <v>3</v>
      </c>
      <c r="G11" s="1"/>
    </row>
    <row r="12" spans="1:7" x14ac:dyDescent="0.25">
      <c r="A12" s="1"/>
      <c r="B12" s="39" t="s">
        <v>28</v>
      </c>
      <c r="C12" s="39"/>
      <c r="D12" s="39"/>
      <c r="E12" s="9">
        <f>SUM(E8:E11)</f>
        <v>1746671.6488285342</v>
      </c>
      <c r="F12" s="34" t="s">
        <v>3</v>
      </c>
      <c r="G12" s="1"/>
    </row>
    <row r="13" spans="1:7" x14ac:dyDescent="0.25">
      <c r="A13" s="1"/>
      <c r="B13" s="40" t="s">
        <v>16</v>
      </c>
      <c r="C13" s="40"/>
      <c r="D13" s="40"/>
      <c r="E13" s="40"/>
      <c r="F13" s="40"/>
      <c r="G13" s="1"/>
    </row>
    <row r="14" spans="1:7" ht="15" customHeight="1" x14ac:dyDescent="0.25">
      <c r="A14" s="1"/>
      <c r="B14" s="34" t="s">
        <v>16</v>
      </c>
      <c r="C14" s="34"/>
      <c r="D14" s="34"/>
      <c r="E14" s="9">
        <f>'Fane 4. Ikke-påvirkelige omk.'!C15*(1+'Fane 12. Nøgletal'!C12)^2</f>
        <v>1653367.1415049569</v>
      </c>
      <c r="F14" s="34" t="s">
        <v>3</v>
      </c>
      <c r="G14" s="1"/>
    </row>
    <row r="15" spans="1:7" ht="15" customHeight="1" x14ac:dyDescent="0.25">
      <c r="A15" s="1"/>
      <c r="B15" s="40" t="s">
        <v>84</v>
      </c>
      <c r="C15" s="40"/>
      <c r="D15" s="40"/>
      <c r="E15" s="40"/>
      <c r="F15" s="40"/>
      <c r="G15" s="1"/>
    </row>
    <row r="16" spans="1:7" ht="15" customHeight="1" x14ac:dyDescent="0.25">
      <c r="A16" s="1"/>
      <c r="B16" s="31" t="s">
        <v>80</v>
      </c>
      <c r="C16" s="36"/>
      <c r="D16" s="36"/>
      <c r="E16" s="8">
        <f>'Fane 8.2. Engangstillæg'!C27</f>
        <v>0</v>
      </c>
      <c r="F16" s="36" t="s">
        <v>3</v>
      </c>
      <c r="G16" s="1"/>
    </row>
    <row r="17" spans="1:7" ht="15" customHeight="1" x14ac:dyDescent="0.25">
      <c r="A17" s="1"/>
      <c r="B17" s="31" t="s">
        <v>81</v>
      </c>
      <c r="C17" s="36"/>
      <c r="D17" s="36"/>
      <c r="E17" s="8">
        <f>'Fane 8.2. Engangstillæg'!E27</f>
        <v>0</v>
      </c>
      <c r="F17" s="36" t="s">
        <v>3</v>
      </c>
      <c r="G17" s="1"/>
    </row>
    <row r="18" spans="1:7" ht="15" customHeight="1" x14ac:dyDescent="0.25">
      <c r="A18" s="1"/>
      <c r="B18" s="41" t="s">
        <v>85</v>
      </c>
      <c r="C18" s="39"/>
      <c r="D18" s="39"/>
      <c r="E18" s="9">
        <f>SUM(E16:E17)</f>
        <v>0</v>
      </c>
      <c r="F18" s="34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40"/>
      <c r="F19" s="40"/>
      <c r="G19" s="1"/>
    </row>
    <row r="20" spans="1:7" ht="15" customHeight="1" x14ac:dyDescent="0.25">
      <c r="A20" s="1"/>
      <c r="B20" s="34" t="s">
        <v>131</v>
      </c>
      <c r="C20" s="34"/>
      <c r="D20" s="34"/>
      <c r="E20" s="9">
        <f>'Fane 2.2. Økonomisk ramme 2021'!E22</f>
        <v>-122991.08104108612</v>
      </c>
      <c r="F20" s="34" t="s">
        <v>3</v>
      </c>
      <c r="G20" s="1"/>
    </row>
    <row r="21" spans="1:7" x14ac:dyDescent="0.25">
      <c r="A21" s="1"/>
      <c r="B21" s="40" t="s">
        <v>40</v>
      </c>
      <c r="C21" s="40"/>
      <c r="D21" s="40"/>
      <c r="E21" s="10">
        <f>SUM(E12,E14,E18,E20)</f>
        <v>3277047.7092924048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Xabg5pGOvLTMdsvd7N0BoaVf6o3jJm2Crr6BGp7r991uyWRBGQXYb/rkX17eUd4ScgXGFm44ytmU+hRXy3GPZQ==" saltValue="HC6bnKEMsv+nhb38382dz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145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19</v>
      </c>
      <c r="C7" s="40"/>
      <c r="D7" s="40"/>
      <c r="E7" s="40"/>
      <c r="F7" s="40"/>
      <c r="G7" s="1"/>
    </row>
    <row r="8" spans="1:7" ht="15" customHeight="1" x14ac:dyDescent="0.25">
      <c r="A8" s="1"/>
      <c r="B8" s="36" t="s">
        <v>38</v>
      </c>
      <c r="C8" s="36"/>
      <c r="D8" s="36"/>
      <c r="E8" s="7">
        <f>'Fane 2.3. Økonomisk ramme 2022'!E12</f>
        <v>1746671.6488285342</v>
      </c>
      <c r="F8" s="36" t="s">
        <v>3</v>
      </c>
      <c r="G8" s="1"/>
    </row>
    <row r="9" spans="1:7" ht="15" customHeight="1" x14ac:dyDescent="0.25">
      <c r="A9" s="1"/>
      <c r="B9" s="36" t="s">
        <v>144</v>
      </c>
      <c r="C9" s="36"/>
      <c r="D9" s="36"/>
      <c r="E9" s="7">
        <f>-('Fane 10. Bortfald'!C30+'Fane 10. Bortfald'!E30)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E8*'Fane 12. Nøgletal'!C12</f>
        <v>34409.431481922118</v>
      </c>
      <c r="F10" s="36" t="s">
        <v>3</v>
      </c>
      <c r="G10" s="1"/>
    </row>
    <row r="11" spans="1:7" ht="15" customHeight="1" x14ac:dyDescent="0.25">
      <c r="A11" s="1"/>
      <c r="B11" s="37" t="s">
        <v>115</v>
      </c>
      <c r="C11" s="36"/>
      <c r="D11" s="36"/>
      <c r="E11" s="8">
        <f>-SUM(E8:E10)*'Fane 12. Nøgletal'!C17</f>
        <v>-30278.378365277757</v>
      </c>
      <c r="F11" s="36" t="s">
        <v>3</v>
      </c>
      <c r="G11" s="1"/>
    </row>
    <row r="12" spans="1:7" x14ac:dyDescent="0.25">
      <c r="A12" s="1"/>
      <c r="B12" s="39" t="s">
        <v>28</v>
      </c>
      <c r="C12" s="39"/>
      <c r="D12" s="39"/>
      <c r="E12" s="9">
        <f>SUM(E8:E11)</f>
        <v>1750802.7019451784</v>
      </c>
      <c r="F12" s="34" t="s">
        <v>3</v>
      </c>
      <c r="G12" s="1"/>
    </row>
    <row r="13" spans="1:7" x14ac:dyDescent="0.25">
      <c r="A13" s="1"/>
      <c r="B13" s="40" t="s">
        <v>16</v>
      </c>
      <c r="C13" s="40"/>
      <c r="D13" s="40"/>
      <c r="E13" s="40"/>
      <c r="F13" s="40"/>
      <c r="G13" s="1"/>
    </row>
    <row r="14" spans="1:7" ht="15" customHeight="1" x14ac:dyDescent="0.25">
      <c r="A14" s="1"/>
      <c r="B14" s="34" t="s">
        <v>16</v>
      </c>
      <c r="C14" s="34"/>
      <c r="D14" s="34"/>
      <c r="E14" s="9">
        <f>'Fane 4. Ikke-påvirkelige omk.'!C15*(1+'Fane 12. Nøgletal'!C12)^3</f>
        <v>1685938.4741926044</v>
      </c>
      <c r="F14" s="34" t="s">
        <v>3</v>
      </c>
      <c r="G14" s="1"/>
    </row>
    <row r="15" spans="1:7" ht="15" customHeight="1" x14ac:dyDescent="0.25">
      <c r="A15" s="1"/>
      <c r="B15" s="40" t="s">
        <v>84</v>
      </c>
      <c r="C15" s="40"/>
      <c r="D15" s="40"/>
      <c r="E15" s="40"/>
      <c r="F15" s="40"/>
      <c r="G15" s="1"/>
    </row>
    <row r="16" spans="1:7" ht="15" customHeight="1" x14ac:dyDescent="0.25">
      <c r="A16" s="1"/>
      <c r="B16" s="31" t="s">
        <v>80</v>
      </c>
      <c r="C16" s="36"/>
      <c r="D16" s="36"/>
      <c r="E16" s="8">
        <f>'Fane 8.2. Engangstillæg'!C34</f>
        <v>0</v>
      </c>
      <c r="F16" s="36" t="s">
        <v>3</v>
      </c>
      <c r="G16" s="1"/>
    </row>
    <row r="17" spans="1:7" ht="15" customHeight="1" x14ac:dyDescent="0.25">
      <c r="A17" s="1"/>
      <c r="B17" s="31" t="s">
        <v>81</v>
      </c>
      <c r="C17" s="36"/>
      <c r="D17" s="36"/>
      <c r="E17" s="8">
        <f>'Fane 8.2. Engangstillæg'!E34</f>
        <v>0</v>
      </c>
      <c r="F17" s="36" t="s">
        <v>3</v>
      </c>
      <c r="G17" s="1"/>
    </row>
    <row r="18" spans="1:7" ht="15" customHeight="1" x14ac:dyDescent="0.25">
      <c r="A18" s="1"/>
      <c r="B18" s="41" t="s">
        <v>85</v>
      </c>
      <c r="C18" s="39"/>
      <c r="D18" s="39"/>
      <c r="E18" s="9">
        <f>SUM(E16:E17)</f>
        <v>0</v>
      </c>
      <c r="F18" s="34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40"/>
      <c r="F19" s="40"/>
      <c r="G19" s="1"/>
    </row>
    <row r="20" spans="1:7" ht="15" customHeight="1" x14ac:dyDescent="0.25">
      <c r="A20" s="1"/>
      <c r="B20" s="34" t="s">
        <v>131</v>
      </c>
      <c r="C20" s="34"/>
      <c r="D20" s="34"/>
      <c r="E20" s="9">
        <f>'Fane 2.3. Økonomisk ramme 2022'!E20</f>
        <v>-122991.08104108612</v>
      </c>
      <c r="F20" s="34" t="s">
        <v>3</v>
      </c>
      <c r="G20" s="1"/>
    </row>
    <row r="21" spans="1:7" x14ac:dyDescent="0.25">
      <c r="A21" s="1"/>
      <c r="B21" s="40" t="s">
        <v>89</v>
      </c>
      <c r="C21" s="40"/>
      <c r="D21" s="40"/>
      <c r="E21" s="10">
        <f>SUM(E12,E14,E18,E20)</f>
        <v>3313750.0950966966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+TxNBTKhgGQIjJyL5HCV3JkC5FfZxJbvPLdNdGpXmBzz8Rc0AHXrCdleNL8gFzZF9fggVIyuwUBW1zWTV46Umw==" saltValue="qUAfZmtPSrByOETaBo4Pz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138</v>
      </c>
      <c r="C3" s="69"/>
      <c r="D3" s="69"/>
      <c r="E3" s="69"/>
      <c r="F3" s="69"/>
      <c r="G3" s="1"/>
    </row>
    <row r="4" spans="1:7" ht="29.2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72</v>
      </c>
      <c r="C8" s="40"/>
      <c r="D8" s="40"/>
      <c r="E8" s="40"/>
      <c r="F8" s="40"/>
      <c r="G8" s="1"/>
    </row>
    <row r="9" spans="1:7" x14ac:dyDescent="0.25">
      <c r="A9" s="1"/>
      <c r="B9" s="70" t="s">
        <v>70</v>
      </c>
      <c r="C9" s="70"/>
      <c r="D9" s="70"/>
      <c r="E9" s="7">
        <v>1811972.7540391302</v>
      </c>
      <c r="F9" s="36" t="s">
        <v>3</v>
      </c>
      <c r="G9" s="1"/>
    </row>
    <row r="10" spans="1:7" x14ac:dyDescent="0.25">
      <c r="A10" s="1"/>
      <c r="B10" s="72" t="s">
        <v>140</v>
      </c>
      <c r="C10" s="72"/>
      <c r="D10" s="72"/>
      <c r="E10" s="7">
        <v>0</v>
      </c>
      <c r="F10" s="36" t="s">
        <v>3</v>
      </c>
      <c r="G10" s="1"/>
    </row>
    <row r="11" spans="1:7" x14ac:dyDescent="0.25">
      <c r="A11" s="1"/>
      <c r="B11" s="71" t="s">
        <v>141</v>
      </c>
      <c r="C11" s="71"/>
      <c r="D11" s="71"/>
      <c r="E11" s="7">
        <v>0</v>
      </c>
      <c r="F11" s="36" t="s">
        <v>3</v>
      </c>
      <c r="G11" s="1"/>
    </row>
    <row r="12" spans="1:7" x14ac:dyDescent="0.25">
      <c r="A12" s="1"/>
      <c r="B12" s="71" t="s">
        <v>142</v>
      </c>
      <c r="C12" s="71"/>
      <c r="D12" s="71"/>
      <c r="E12" s="8">
        <v>0</v>
      </c>
      <c r="F12" s="36" t="s">
        <v>3</v>
      </c>
      <c r="G12" s="1"/>
    </row>
    <row r="13" spans="1:7" x14ac:dyDescent="0.25">
      <c r="A13" s="1"/>
      <c r="B13" s="71" t="s">
        <v>26</v>
      </c>
      <c r="C13" s="71"/>
      <c r="D13" s="71"/>
      <c r="E13" s="8">
        <f>(SUM(E9:E9)-SUM(E10:E10))*'Fane 12. Nøgletal'!C9+SUM(E10:E10)*'Fane 12. Nøgletal'!C10+SUM(E11:E12)*'Fane 12. Nøgletal'!C11</f>
        <v>23012.053976296953</v>
      </c>
      <c r="F13" s="36" t="s">
        <v>3</v>
      </c>
      <c r="G13" s="1"/>
    </row>
    <row r="14" spans="1:7" x14ac:dyDescent="0.25">
      <c r="A14" s="1"/>
      <c r="B14" s="71" t="s">
        <v>115</v>
      </c>
      <c r="C14" s="71"/>
      <c r="D14" s="71"/>
      <c r="E14" s="8">
        <f>-SUM(E9:E9,E11:E13)*'Fane 12. Nøgletal'!C17</f>
        <v>-31194.741736262262</v>
      </c>
      <c r="F14" s="36" t="s">
        <v>3</v>
      </c>
      <c r="G14" s="1"/>
    </row>
    <row r="15" spans="1:7" x14ac:dyDescent="0.25">
      <c r="A15" s="1"/>
      <c r="B15" s="73" t="s">
        <v>28</v>
      </c>
      <c r="C15" s="73"/>
      <c r="D15" s="73"/>
      <c r="E15" s="9">
        <f>SUM(E9,E11:E14)</f>
        <v>1803790.0662791647</v>
      </c>
      <c r="F15" s="34" t="s">
        <v>3</v>
      </c>
      <c r="G15" s="1"/>
    </row>
    <row r="16" spans="1:7" x14ac:dyDescent="0.25">
      <c r="A16" s="1"/>
      <c r="B16" s="74" t="s">
        <v>16</v>
      </c>
      <c r="C16" s="74"/>
      <c r="D16" s="74"/>
      <c r="E16" s="40"/>
      <c r="F16" s="40"/>
      <c r="G16" s="1"/>
    </row>
    <row r="17" spans="1:7" x14ac:dyDescent="0.25">
      <c r="A17" s="1"/>
      <c r="B17" s="68" t="s">
        <v>16</v>
      </c>
      <c r="C17" s="68"/>
      <c r="D17" s="68"/>
      <c r="E17" s="9">
        <v>1657400.3590540895</v>
      </c>
      <c r="F17" s="34" t="s">
        <v>3</v>
      </c>
      <c r="G17" s="1"/>
    </row>
    <row r="18" spans="1:7" x14ac:dyDescent="0.25">
      <c r="A18" s="1"/>
      <c r="B18" s="40" t="s">
        <v>71</v>
      </c>
      <c r="C18" s="40"/>
      <c r="D18" s="40"/>
      <c r="E18" s="40"/>
      <c r="F18" s="40"/>
      <c r="G18" s="1"/>
    </row>
    <row r="19" spans="1:7" ht="27" customHeight="1" x14ac:dyDescent="0.25">
      <c r="A19" s="1"/>
      <c r="B19" s="67" t="s">
        <v>74</v>
      </c>
      <c r="C19" s="67"/>
      <c r="D19" s="67"/>
      <c r="E19" s="9">
        <v>7270.8837352065311</v>
      </c>
      <c r="F19" s="34" t="s">
        <v>3</v>
      </c>
      <c r="G19" s="1"/>
    </row>
    <row r="20" spans="1:7" x14ac:dyDescent="0.25">
      <c r="A20" s="1"/>
      <c r="B20" s="40" t="s">
        <v>10</v>
      </c>
      <c r="C20" s="40"/>
      <c r="D20" s="40"/>
      <c r="E20" s="40"/>
      <c r="F20" s="40"/>
      <c r="G20" s="1"/>
    </row>
    <row r="21" spans="1:7" x14ac:dyDescent="0.25">
      <c r="A21" s="1"/>
      <c r="B21" s="68" t="s">
        <v>18</v>
      </c>
      <c r="C21" s="68"/>
      <c r="D21" s="68"/>
      <c r="E21" s="9">
        <v>-699481</v>
      </c>
      <c r="F21" s="34" t="s">
        <v>3</v>
      </c>
      <c r="G21" s="1"/>
    </row>
    <row r="22" spans="1:7" x14ac:dyDescent="0.25">
      <c r="A22" s="1"/>
      <c r="B22" s="40" t="s">
        <v>23</v>
      </c>
      <c r="C22" s="40"/>
      <c r="D22" s="40"/>
      <c r="E22" s="10">
        <f>SUM(E21,E19,E17,E15)</f>
        <v>2768980.3090684609</v>
      </c>
      <c r="F22" s="11" t="s">
        <v>3</v>
      </c>
      <c r="G22" s="1"/>
    </row>
    <row r="23" spans="1:7" ht="28.5" customHeight="1" x14ac:dyDescent="0.25">
      <c r="A23" s="1"/>
      <c r="B23" s="66" t="s">
        <v>118</v>
      </c>
      <c r="C23" s="66"/>
      <c r="D23" s="66"/>
      <c r="E23" s="66"/>
      <c r="F23" s="66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3vWhZTx7pkqLWZdi+BGW1tUIkp/Yx4YlIxuOTrvxlHM4QfqZ4X518kWJg/by2bfUCPvPLAC9tevL6urzxXdzYw==" saltValue="4Ad5dvxPlI8x5K0VWo3wWA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4" t="s">
        <v>110</v>
      </c>
      <c r="C3" s="64"/>
      <c r="D3" s="64"/>
      <c r="E3" s="1"/>
      <c r="F3" s="1"/>
    </row>
    <row r="4" spans="1:6" ht="15" customHeight="1" x14ac:dyDescent="0.25">
      <c r="A4" s="1"/>
      <c r="B4" s="64"/>
      <c r="C4" s="64"/>
      <c r="D4" s="64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5" t="s">
        <v>58</v>
      </c>
      <c r="C8" s="76"/>
      <c r="D8" s="77"/>
      <c r="E8" s="1"/>
      <c r="F8" s="1"/>
    </row>
    <row r="9" spans="1:6" ht="15" customHeight="1" x14ac:dyDescent="0.25">
      <c r="A9" s="1"/>
      <c r="B9" s="19" t="s">
        <v>43</v>
      </c>
      <c r="C9" s="34" t="s">
        <v>59</v>
      </c>
      <c r="D9" s="34"/>
      <c r="E9" s="1"/>
      <c r="F9" s="1"/>
    </row>
    <row r="10" spans="1:6" x14ac:dyDescent="0.25">
      <c r="A10" s="1"/>
      <c r="B10" s="30" t="s">
        <v>147</v>
      </c>
      <c r="C10" s="8">
        <v>1373633</v>
      </c>
      <c r="D10" s="12" t="s">
        <v>3</v>
      </c>
      <c r="E10" s="1"/>
      <c r="F10" s="1"/>
    </row>
    <row r="11" spans="1:6" x14ac:dyDescent="0.25">
      <c r="A11" s="1"/>
      <c r="B11" s="30" t="s">
        <v>148</v>
      </c>
      <c r="C11" s="8">
        <v>3208</v>
      </c>
      <c r="D11" s="12" t="s">
        <v>3</v>
      </c>
      <c r="E11" s="1"/>
      <c r="F11" s="1"/>
    </row>
    <row r="12" spans="1:6" ht="26.25" x14ac:dyDescent="0.25">
      <c r="A12" s="1"/>
      <c r="B12" s="97" t="s">
        <v>149</v>
      </c>
      <c r="C12" s="8">
        <v>149760</v>
      </c>
      <c r="D12" s="12" t="s">
        <v>3</v>
      </c>
      <c r="E12" s="1"/>
      <c r="F12" s="1"/>
    </row>
    <row r="13" spans="1:6" x14ac:dyDescent="0.25">
      <c r="A13" s="1"/>
      <c r="B13" s="30" t="s">
        <v>150</v>
      </c>
      <c r="C13" s="8">
        <v>2653</v>
      </c>
      <c r="D13" s="12" t="s">
        <v>3</v>
      </c>
      <c r="E13" s="1"/>
      <c r="F13" s="1"/>
    </row>
    <row r="14" spans="1:6" x14ac:dyDescent="0.25">
      <c r="A14" s="1"/>
      <c r="B14" s="44" t="s">
        <v>60</v>
      </c>
      <c r="C14" s="10">
        <f>SUM(C10:C13)</f>
        <v>1529254</v>
      </c>
      <c r="D14" s="11" t="s">
        <v>3</v>
      </c>
      <c r="E14" s="1"/>
      <c r="F14" s="1"/>
    </row>
    <row r="15" spans="1:6" x14ac:dyDescent="0.25">
      <c r="A15" s="1"/>
      <c r="B15" s="44" t="s">
        <v>61</v>
      </c>
      <c r="C15" s="10">
        <f>C14*(1+'Fane 12. Nøgletal'!C12)^2</f>
        <v>1590100.0957848602</v>
      </c>
      <c r="D15" s="11" t="s">
        <v>3</v>
      </c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4"/>
      <c r="C17" s="13"/>
      <c r="D17" s="13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4+KENpfkqB+ZGXvd+R0KW8IkX6I7DIkt+WsulMRy4Fl2lV4jjdzDcNTMU5mNZ6St1V8qQzpks5IEax1sV6axtA==" saltValue="RmRP7oa47sfYYr8+YBGNf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9" t="s">
        <v>119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ht="15" customHeight="1" x14ac:dyDescent="0.25">
      <c r="A5" s="1"/>
      <c r="B5" s="35"/>
      <c r="C5" s="35"/>
      <c r="D5" s="35"/>
      <c r="E5" s="35"/>
      <c r="F5" s="35"/>
      <c r="G5" s="1"/>
    </row>
    <row r="6" spans="1:7" ht="15" customHeight="1" x14ac:dyDescent="0.25">
      <c r="A6" s="1"/>
      <c r="B6" s="78" t="s">
        <v>47</v>
      </c>
      <c r="C6" s="78"/>
      <c r="D6" s="78"/>
      <c r="E6" s="78"/>
      <c r="F6" s="78"/>
      <c r="G6" s="1"/>
    </row>
    <row r="7" spans="1:7" ht="15" customHeight="1" x14ac:dyDescent="0.25">
      <c r="A7" s="1"/>
      <c r="B7" s="79" t="s">
        <v>45</v>
      </c>
      <c r="C7" s="79"/>
      <c r="D7" s="79"/>
      <c r="E7" s="8">
        <v>-180639.375</v>
      </c>
      <c r="F7" s="12" t="s">
        <v>3</v>
      </c>
      <c r="G7" s="1"/>
    </row>
    <row r="8" spans="1:7" ht="15" customHeight="1" x14ac:dyDescent="0.25">
      <c r="A8" s="1"/>
      <c r="B8" s="79" t="s">
        <v>46</v>
      </c>
      <c r="C8" s="79"/>
      <c r="D8" s="79"/>
      <c r="E8" s="8">
        <v>110210.14809652511</v>
      </c>
      <c r="F8" s="12" t="s">
        <v>3</v>
      </c>
      <c r="G8" s="1"/>
    </row>
    <row r="9" spans="1:7" ht="15" customHeight="1" x14ac:dyDescent="0.25">
      <c r="A9" s="1"/>
      <c r="B9" s="81" t="s">
        <v>129</v>
      </c>
      <c r="C9" s="82"/>
      <c r="D9" s="83"/>
      <c r="E9" s="9">
        <f>SUM(E7:E8)</f>
        <v>-70429.22690347489</v>
      </c>
      <c r="F9" s="15" t="s">
        <v>3</v>
      </c>
      <c r="G9" s="1"/>
    </row>
    <row r="10" spans="1:7" ht="15" customHeight="1" x14ac:dyDescent="0.25">
      <c r="A10" s="1"/>
      <c r="B10" s="75"/>
      <c r="C10" s="76"/>
      <c r="D10" s="76"/>
      <c r="E10" s="76"/>
      <c r="F10" s="77"/>
      <c r="G10" s="1"/>
    </row>
    <row r="11" spans="1:7" ht="27" customHeight="1" x14ac:dyDescent="0.25">
      <c r="A11" s="1"/>
      <c r="B11" s="66" t="s">
        <v>113</v>
      </c>
      <c r="C11" s="66"/>
      <c r="D11" s="66"/>
      <c r="E11" s="66"/>
      <c r="F11" s="66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8" t="s">
        <v>99</v>
      </c>
      <c r="C14" s="78"/>
      <c r="D14" s="78"/>
      <c r="E14" s="78"/>
      <c r="F14" s="78"/>
      <c r="G14" s="1"/>
    </row>
    <row r="15" spans="1:7" x14ac:dyDescent="0.25">
      <c r="A15" s="1"/>
      <c r="B15" s="79" t="s">
        <v>100</v>
      </c>
      <c r="C15" s="79"/>
      <c r="D15" s="79"/>
      <c r="E15" s="8">
        <v>2715793.0830000001</v>
      </c>
      <c r="F15" s="12" t="s">
        <v>3</v>
      </c>
      <c r="G15" s="1"/>
    </row>
    <row r="16" spans="1:7" x14ac:dyDescent="0.25">
      <c r="A16" s="1"/>
      <c r="B16" s="79" t="s">
        <v>101</v>
      </c>
      <c r="C16" s="79"/>
      <c r="D16" s="79"/>
      <c r="E16" s="8">
        <v>2932723</v>
      </c>
      <c r="F16" s="12" t="s">
        <v>3</v>
      </c>
      <c r="G16" s="1"/>
    </row>
    <row r="17" spans="1:7" x14ac:dyDescent="0.25">
      <c r="A17" s="1"/>
      <c r="B17" s="79" t="s">
        <v>44</v>
      </c>
      <c r="C17" s="79"/>
      <c r="D17" s="79"/>
      <c r="E17" s="8">
        <v>0</v>
      </c>
      <c r="F17" s="12" t="s">
        <v>3</v>
      </c>
      <c r="G17" s="1"/>
    </row>
    <row r="18" spans="1:7" x14ac:dyDescent="0.25">
      <c r="A18" s="1"/>
      <c r="B18" s="80" t="s">
        <v>130</v>
      </c>
      <c r="C18" s="80"/>
      <c r="D18" s="80"/>
      <c r="E18" s="9">
        <f>E15-(E16-E17)</f>
        <v>-216929.9169999999</v>
      </c>
      <c r="F18" s="15" t="s">
        <v>3</v>
      </c>
      <c r="G18" s="1"/>
    </row>
    <row r="19" spans="1:7" x14ac:dyDescent="0.25">
      <c r="A19" s="1"/>
      <c r="B19" s="84"/>
      <c r="C19" s="85"/>
      <c r="D19" s="85"/>
      <c r="E19" s="85"/>
      <c r="F19" s="86"/>
      <c r="G19" s="1"/>
    </row>
    <row r="20" spans="1:7" ht="28.5" customHeight="1" x14ac:dyDescent="0.25">
      <c r="A20" s="1"/>
      <c r="B20" s="66" t="s">
        <v>112</v>
      </c>
      <c r="C20" s="66"/>
      <c r="D20" s="66"/>
      <c r="E20" s="66"/>
      <c r="F20" s="66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78" t="s">
        <v>66</v>
      </c>
      <c r="C23" s="78"/>
      <c r="D23" s="78"/>
      <c r="E23" s="78"/>
      <c r="F23" s="78"/>
      <c r="G23" s="1"/>
    </row>
    <row r="24" spans="1:7" x14ac:dyDescent="0.25">
      <c r="A24" s="1"/>
      <c r="B24" s="79" t="s">
        <v>67</v>
      </c>
      <c r="C24" s="79"/>
      <c r="D24" s="79"/>
      <c r="E24" s="8">
        <v>2515452.8197391303</v>
      </c>
      <c r="F24" s="12" t="s">
        <v>3</v>
      </c>
      <c r="G24" s="1"/>
    </row>
    <row r="25" spans="1:7" x14ac:dyDescent="0.25">
      <c r="A25" s="1"/>
      <c r="B25" s="79" t="s">
        <v>68</v>
      </c>
      <c r="C25" s="79"/>
      <c r="D25" s="79"/>
      <c r="E25" s="8">
        <v>2720058</v>
      </c>
      <c r="F25" s="12" t="s">
        <v>3</v>
      </c>
      <c r="G25" s="1"/>
    </row>
    <row r="26" spans="1:7" x14ac:dyDescent="0.25">
      <c r="A26" s="1"/>
      <c r="B26" s="79" t="s">
        <v>44</v>
      </c>
      <c r="C26" s="79"/>
      <c r="D26" s="79"/>
      <c r="E26" s="8">
        <v>0</v>
      </c>
      <c r="F26" s="12" t="s">
        <v>3</v>
      </c>
      <c r="G26" s="1"/>
    </row>
    <row r="27" spans="1:7" x14ac:dyDescent="0.25">
      <c r="A27" s="1"/>
      <c r="B27" s="80" t="s">
        <v>130</v>
      </c>
      <c r="C27" s="80"/>
      <c r="D27" s="80"/>
      <c r="E27" s="9">
        <f>E24-(E25-E26)</f>
        <v>-204605.18026086967</v>
      </c>
      <c r="F27" s="15" t="s">
        <v>3</v>
      </c>
      <c r="G27" s="1"/>
    </row>
    <row r="28" spans="1:7" x14ac:dyDescent="0.25">
      <c r="A28" s="1"/>
      <c r="B28" s="75"/>
      <c r="C28" s="76"/>
      <c r="D28" s="76"/>
      <c r="E28" s="76"/>
      <c r="F28" s="77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78" t="s">
        <v>114</v>
      </c>
      <c r="C31" s="78"/>
      <c r="D31" s="78"/>
      <c r="E31" s="78"/>
      <c r="F31" s="78"/>
      <c r="G31" s="1"/>
    </row>
    <row r="32" spans="1:7" x14ac:dyDescent="0.25">
      <c r="A32" s="1"/>
      <c r="B32" s="72" t="s">
        <v>47</v>
      </c>
      <c r="C32" s="72"/>
      <c r="D32" s="72"/>
      <c r="E32" s="8">
        <f>E9</f>
        <v>-70429.22690347489</v>
      </c>
      <c r="F32" s="12" t="s">
        <v>3</v>
      </c>
      <c r="G32" s="1"/>
    </row>
    <row r="33" spans="1:7" x14ac:dyDescent="0.25">
      <c r="A33" s="1"/>
      <c r="B33" s="72" t="s">
        <v>128</v>
      </c>
      <c r="C33" s="72"/>
      <c r="D33" s="72"/>
      <c r="E33" s="8">
        <f>IF(E18+E27&lt;0,E18+E27,0)</f>
        <v>-421535.09726086957</v>
      </c>
      <c r="F33" s="12" t="s">
        <v>3</v>
      </c>
      <c r="G33" s="1"/>
    </row>
    <row r="34" spans="1:7" x14ac:dyDescent="0.25">
      <c r="A34" s="1"/>
      <c r="B34" s="72" t="s">
        <v>122</v>
      </c>
      <c r="C34" s="72"/>
      <c r="D34" s="72"/>
      <c r="E34" s="8">
        <v>4</v>
      </c>
      <c r="F34" s="12" t="s">
        <v>27</v>
      </c>
      <c r="G34" s="1"/>
    </row>
    <row r="35" spans="1:7" x14ac:dyDescent="0.25">
      <c r="A35" s="1"/>
      <c r="B35" s="80" t="s">
        <v>154</v>
      </c>
      <c r="C35" s="80"/>
      <c r="D35" s="80"/>
      <c r="E35" s="9">
        <f>SUM(E32:E33)/E34</f>
        <v>-122991.08104108612</v>
      </c>
      <c r="F35" s="15" t="s">
        <v>3</v>
      </c>
      <c r="G35" s="1"/>
    </row>
    <row r="36" spans="1:7" x14ac:dyDescent="0.25">
      <c r="A36" s="1"/>
      <c r="B36" s="78"/>
      <c r="C36" s="78"/>
      <c r="D36" s="78"/>
      <c r="E36" s="78"/>
      <c r="F36" s="78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HU/YpiNTiZPFIJycD1AUewDfAu8YFv2bjunLSIqR+NwwD6MHPpAQv/xQIp0kASrYQ0pPYbnHlrD56BhsjLi/kw==" saltValue="Meg8cTlIZbQ3LNRlt+s0FQ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9" t="s">
        <v>155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78" t="s">
        <v>94</v>
      </c>
      <c r="C8" s="78"/>
      <c r="D8" s="78"/>
      <c r="E8" s="78"/>
      <c r="F8" s="78"/>
      <c r="G8" s="1"/>
    </row>
    <row r="9" spans="1:7" ht="28.5" customHeight="1" x14ac:dyDescent="0.25">
      <c r="A9" s="1"/>
      <c r="B9" s="67" t="s">
        <v>98</v>
      </c>
      <c r="C9" s="67"/>
      <c r="D9" s="67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4" t="s">
        <v>3</v>
      </c>
      <c r="G9" s="1"/>
    </row>
    <row r="10" spans="1:7" x14ac:dyDescent="0.25">
      <c r="A10" s="1"/>
      <c r="B10" s="40" t="s">
        <v>109</v>
      </c>
      <c r="C10" s="40"/>
      <c r="D10" s="40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YE0DG6PT1jsswSzNo8TaUv2qRKNzgDNzUdwIYc9UZHq3XgYsdGJIBXWthH2fnY1CcfZUUqBF1pfosWkdsyZ1JA==" saltValue="A4ZNycy7xjn5OKq6MYZwtw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2019-08-20T15:37:18Z</dcterms:modified>
</cp:coreProperties>
</file>