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ANDELSSELSKABET HAARBY VANDVÆRK (V103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C14" i="19" l="1"/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5" i="19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<sst xmlns="http://schemas.openxmlformats.org/spreadsheetml/2006/main" count="424" uniqueCount="164">
  <si>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</si>
  <si>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</si>
  <si>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</si>
  <si>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</si>
  <si>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</si>
  <si>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</si>
  <si>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</si>
  <si>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</si>
  <si>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</si>
  <si>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</si>
  <si>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</si>
  <si>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</si>
  <si>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</si>
  <si>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</si>
  <si>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</si>
  <si>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</si>
  <si>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</si>
  <si>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</si>
  <si>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</si>
  <si>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</si>
  <si>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</si>
  <si>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</si>
  <si>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</si>
  <si>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</si>
  <si>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</si>
  <si>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</si>
  <si>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</si>
  <si>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</si>
  <si>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</si>
  <si>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</si>
  <si>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</si>
  <si>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</si>
  <si>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</si>
  <si>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</si>
  <si>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</si>
  <si>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</si>
  <si>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</si>
  <si>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</si>
  <si>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</si>
  <si>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</si>
  <si>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</si>
  <si>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</si>
  <si>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</si>
  <si>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</si>
  <si>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</si>
  <si>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</si>
  <si>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</si>
  <si>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</si>
  <si>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</si>
  <si>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</si>
  <si>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</si>
  <si>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</si>
  <si>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</si>
  <si>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</si>
  <si>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</si>
  <si>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</si>
  <si>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</si>
  <si>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</si>
  <si>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</si>
  <si>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</si>
  <si>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</si>
  <si>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</si>
  <si>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</si>
  <si>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</si>
  <si>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</si>
  <si>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</si>
  <si>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</si>
  <si>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</si>
  <si>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</si>
  <si>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</si>
  <si>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</si>
  <si>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</si>
  <si>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</si>
  <si>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</si>
  <si>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</si>
  <si>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</si>
  <si>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</si>
  <si>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</si>
  <si>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</si>
  <si>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</si>
  <si>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</si>
  <si>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</si>
  <si>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</si>
  <si>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</si>
  <si>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</si>
  <si>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</si>
  <si>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</si>
  <si>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</si>
  <si>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</si>
  <si>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</si>
  <si>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</si>
  <si>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</si>
  <si>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</si>
  <si>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</si>
  <si>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</si>
  <si>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</si>
  <si>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</si>
  <si>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</si>
  <si>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</si>
  <si>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</si>
  <si>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</si>
  <si>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</si>
  <si>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</si>
  <si>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</si>
  <si>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</si>
  <si>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</si>
  <si>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</si>
  <si>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</si>
  <si>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</si>
  <si>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</si>
  <si>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</si>
  <si>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</si>
  <si>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</si>
  <si>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</si>
  <si>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</si>
  <si>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</si>
  <si>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</si>
  <si>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</si>
  <si>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</si>
  <si>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</si>
  <si>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</si>
  <si>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</si>
  <si>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</si>
  <si>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</si>
  <si>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</si>
  <si>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</si>
  <si>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</si>
  <si>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</si>
  <si>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</si>
  <si>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</si>
  <si>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</si>
  <si>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</si>
  <si>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</si>
  <si>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</si>
  <si>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</si>
  <si>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</si>
  <si>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</si>
  <si>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</si>
  <si>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</si>
  <si>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</si>
  <si>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</si>
  <si>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</si>
  <si>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</si>
  <si>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</si>
  <si>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</si>
  <si>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</si>
  <si>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</si>
  <si>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</si>
  <si>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</si>
  <si>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</si>
  <si>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</si>
  <si>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</si>
  <si>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</si>
  <si>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</si>
  <si>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</si>
  <si>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</si>
  <si>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</si>
  <si>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</si>
  <si>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Afgift for ledningsført vand</t>
  </si>
  <si>
    <t>Afgift til Forsyningssekretariatet</t>
  </si>
  <si>
    <t>Ejendomsskat</t>
  </si>
  <si>
    <t>Ingen engangstillæg</t>
  </si>
  <si>
    <t>Korrektion af grundlag</t>
  </si>
  <si>
    <t>Selskabsskatter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</si>
</sst>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2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25">
      <c r="A8" s="1"/>
      <c r="B8" s="1"/>
      <c r="C8" s="4"/>
      <c r="D8" s="63" t="s">
        <v>116</v>
      </c>
      <c r="E8" s="63"/>
      <c r="F8" s="63"/>
      <c r="G8" s="6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2" t="s">
        <v>5</v>
      </c>
      <c r="E11" s="62"/>
      <c r="F11" s="62"/>
      <c r="G11" s="6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8" t="s">
        <v>49</v>
      </c>
      <c r="E13" s="59"/>
      <c r="F13" s="59"/>
      <c r="G13" s="60"/>
      <c r="H13" s="1"/>
      <c r="I13" s="1"/>
    </row>
    <row r="14" spans="1:9" x14ac:dyDescent="0.25">
      <c r="A14" s="1"/>
      <c r="B14" s="1"/>
      <c r="C14" s="6" t="s">
        <v>22</v>
      </c>
      <c r="D14" s="58" t="s">
        <v>117</v>
      </c>
      <c r="E14" s="59"/>
      <c r="F14" s="59"/>
      <c r="G14" s="60"/>
      <c r="H14" s="1"/>
      <c r="I14" s="1"/>
    </row>
    <row r="15" spans="1:9" x14ac:dyDescent="0.25">
      <c r="A15" s="1"/>
      <c r="B15" s="1"/>
      <c r="C15" s="6" t="s">
        <v>48</v>
      </c>
      <c r="D15" s="58" t="s">
        <v>75</v>
      </c>
      <c r="E15" s="59"/>
      <c r="F15" s="59"/>
      <c r="G15" s="60"/>
      <c r="H15" s="1"/>
      <c r="I15" s="1"/>
    </row>
    <row r="16" spans="1:9" x14ac:dyDescent="0.25">
      <c r="A16" s="1"/>
      <c r="B16" s="1"/>
      <c r="C16" s="6" t="s">
        <v>50</v>
      </c>
      <c r="D16" s="58" t="s">
        <v>76</v>
      </c>
      <c r="E16" s="59"/>
      <c r="F16" s="59"/>
      <c r="G16" s="60"/>
      <c r="H16" s="1"/>
      <c r="I16" s="1"/>
    </row>
    <row r="17" spans="1:9" x14ac:dyDescent="0.25">
      <c r="A17" s="1"/>
      <c r="B17" s="1"/>
      <c r="C17" s="6" t="s">
        <v>139</v>
      </c>
      <c r="D17" s="58" t="s">
        <v>57</v>
      </c>
      <c r="E17" s="59"/>
      <c r="F17" s="59"/>
      <c r="G17" s="60"/>
      <c r="H17" s="1"/>
      <c r="I17" s="1"/>
    </row>
    <row r="18" spans="1:9" x14ac:dyDescent="0.25">
      <c r="A18" s="1"/>
      <c r="B18" s="1"/>
      <c r="C18" s="6" t="s">
        <v>7</v>
      </c>
      <c r="D18" s="52" t="s">
        <v>16</v>
      </c>
      <c r="E18" s="53"/>
      <c r="F18" s="53"/>
      <c r="G18" s="54"/>
      <c r="H18" s="1"/>
      <c r="I18" s="1"/>
    </row>
    <row r="19" spans="1:9" x14ac:dyDescent="0.25">
      <c r="A19" s="1"/>
      <c r="B19" s="1"/>
      <c r="C19" s="6" t="s">
        <v>8</v>
      </c>
      <c r="D19" s="46" t="s">
        <v>97</v>
      </c>
      <c r="E19" s="47"/>
      <c r="F19" s="47"/>
      <c r="G19" s="48"/>
      <c r="H19" s="1"/>
      <c r="I19" s="1"/>
    </row>
    <row r="20" spans="1:9" x14ac:dyDescent="0.25">
      <c r="A20" s="1"/>
      <c r="B20" s="1"/>
      <c r="C20" s="6" t="s">
        <v>123</v>
      </c>
      <c r="D20" s="46" t="s">
        <v>147</v>
      </c>
      <c r="E20" s="47"/>
      <c r="F20" s="47"/>
      <c r="G20" s="48"/>
      <c r="H20" s="1"/>
      <c r="I20" s="1"/>
    </row>
    <row r="21" spans="1:9" x14ac:dyDescent="0.25">
      <c r="A21" s="1"/>
      <c r="B21" s="1"/>
      <c r="C21" s="6" t="s">
        <v>82</v>
      </c>
      <c r="D21" s="46" t="s">
        <v>51</v>
      </c>
      <c r="E21" s="47"/>
      <c r="F21" s="47"/>
      <c r="G21" s="48"/>
      <c r="H21" s="1"/>
      <c r="I21" s="1"/>
    </row>
    <row r="22" spans="1:9" x14ac:dyDescent="0.25">
      <c r="A22" s="1"/>
      <c r="B22" s="1"/>
      <c r="C22" s="6" t="s">
        <v>124</v>
      </c>
      <c r="D22" s="46" t="s">
        <v>83</v>
      </c>
      <c r="E22" s="47"/>
      <c r="F22" s="47"/>
      <c r="G22" s="48"/>
      <c r="H22" s="1"/>
      <c r="I22" s="1"/>
    </row>
    <row r="23" spans="1:9" x14ac:dyDescent="0.25">
      <c r="A23" s="1"/>
      <c r="B23" s="1"/>
      <c r="C23" s="6" t="s">
        <v>125</v>
      </c>
      <c r="D23" s="46" t="s">
        <v>84</v>
      </c>
      <c r="E23" s="47"/>
      <c r="F23" s="47"/>
      <c r="G23" s="48"/>
      <c r="H23" s="1"/>
      <c r="I23" s="1"/>
    </row>
    <row r="24" spans="1:9" x14ac:dyDescent="0.25">
      <c r="A24" s="1"/>
      <c r="B24" s="1"/>
      <c r="C24" s="6" t="s">
        <v>9</v>
      </c>
      <c r="D24" s="46" t="s">
        <v>52</v>
      </c>
      <c r="E24" s="47"/>
      <c r="F24" s="47"/>
      <c r="G24" s="48"/>
      <c r="H24" s="1"/>
      <c r="I24" s="1"/>
    </row>
    <row r="25" spans="1:9" x14ac:dyDescent="0.25">
      <c r="A25" s="1"/>
      <c r="B25" s="1"/>
      <c r="C25" s="6" t="s">
        <v>96</v>
      </c>
      <c r="D25" s="46" t="s">
        <v>53</v>
      </c>
      <c r="E25" s="47"/>
      <c r="F25" s="47"/>
      <c r="G25" s="48"/>
      <c r="H25" s="1"/>
      <c r="I25" s="1"/>
    </row>
    <row r="26" spans="1:9" x14ac:dyDescent="0.25">
      <c r="A26" s="1"/>
      <c r="B26" s="1"/>
      <c r="C26" s="6" t="s">
        <v>126</v>
      </c>
      <c r="D26" s="55" t="s">
        <v>10</v>
      </c>
      <c r="E26" s="56"/>
      <c r="F26" s="56"/>
      <c r="G26" s="57"/>
      <c r="H26" s="1"/>
      <c r="I26" s="1"/>
    </row>
    <row r="27" spans="1:9" x14ac:dyDescent="0.25">
      <c r="A27" s="1"/>
      <c r="B27" s="1"/>
      <c r="C27" s="6" t="s">
        <v>21</v>
      </c>
      <c r="D27" s="49" t="s">
        <v>127</v>
      </c>
      <c r="E27" s="50"/>
      <c r="F27" s="50"/>
      <c r="G27" s="5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fvQMbOXXUG5DEGmwfbEy5S30ZtYBFo+GXvOLrtLY9oDA5ECoT0wq5BAKQyyHjkhoAjKhTTODN0dKNSkELXcRmQ==" saltValue="nMlYvf7HFhDvTniirCpaNQ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151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152</v>
      </c>
      <c r="C8" s="76"/>
      <c r="D8" s="76"/>
      <c r="E8" s="76"/>
      <c r="F8" s="76"/>
      <c r="G8" s="76"/>
      <c r="H8" s="77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4" t="s">
        <v>2</v>
      </c>
      <c r="F9" s="34" t="s">
        <v>15</v>
      </c>
      <c r="G9" s="34" t="s">
        <v>41</v>
      </c>
      <c r="H9" s="43"/>
      <c r="I9" s="1"/>
    </row>
    <row r="10" spans="1:9" x14ac:dyDescent="0.25">
      <c r="A10" s="1"/>
      <c r="B10" s="97" t="s">
        <v>156</v>
      </c>
      <c r="C10" s="98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5" t="s">
        <v>153</v>
      </c>
      <c r="C11" s="76"/>
      <c r="D11" s="77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xev0A4K5tD6K78kstVpWkhJW1JPi9Me9Su9xt3Eh0z1zz3IuchjPS8J8C0fuv+fbmZUasZ3hdkRR28u5c3DPgg==" saltValue="yaKvka7nYoQtUoi1LEV+C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120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79</v>
      </c>
      <c r="C8" s="24"/>
      <c r="D8" s="24"/>
      <c r="E8" s="24"/>
      <c r="F8" s="45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3"/>
      <c r="G9" s="1"/>
    </row>
    <row r="10" spans="1:7" x14ac:dyDescent="0.25">
      <c r="A10" s="1"/>
      <c r="B10" s="22" t="s">
        <v>157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4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z9/jUN3Xr/RUqqim+W6/zrQAdd739mr0zk0FEzzwtMMXL61FdGlUwNXjxMAbSJsx/NN/XB8pQyU3GHLlW7ljfw==" saltValue="WmbjynL4vZuupu/S2e+rd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121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102</v>
      </c>
      <c r="C8" s="76"/>
      <c r="D8" s="76"/>
      <c r="E8" s="76"/>
      <c r="F8" s="77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3"/>
      <c r="G9" s="1"/>
    </row>
    <row r="10" spans="1:7" x14ac:dyDescent="0.25">
      <c r="A10" s="1"/>
      <c r="B10" s="22" t="s">
        <v>161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4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5" t="s">
        <v>103</v>
      </c>
      <c r="C15" s="76"/>
      <c r="D15" s="76"/>
      <c r="E15" s="76"/>
      <c r="F15" s="77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3"/>
      <c r="G16" s="1"/>
    </row>
    <row r="17" spans="1:7" x14ac:dyDescent="0.25">
      <c r="A17" s="1"/>
      <c r="B17" s="22" t="s">
        <v>161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4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4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5" t="s">
        <v>104</v>
      </c>
      <c r="C22" s="76"/>
      <c r="D22" s="76"/>
      <c r="E22" s="76"/>
      <c r="F22" s="77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3"/>
      <c r="G23" s="1"/>
    </row>
    <row r="24" spans="1:7" x14ac:dyDescent="0.25">
      <c r="A24" s="1"/>
      <c r="B24" s="22" t="s">
        <v>161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4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4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5" t="s">
        <v>105</v>
      </c>
      <c r="C29" s="76"/>
      <c r="D29" s="76"/>
      <c r="E29" s="76"/>
      <c r="F29" s="77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3"/>
      <c r="G30" s="1"/>
    </row>
    <row r="31" spans="1:7" x14ac:dyDescent="0.25">
      <c r="A31" s="1"/>
      <c r="B31" s="22" t="s">
        <v>161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4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4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02JrDMq5HtuOId8KxkmWANXoRPmbq5pl1pP73TVUwOvoUdR3T1UrQ9jA4ZxjPVupq8a9WLirOjJOlPxgiEH3lQ==" saltValue="dbQvKjy27SM9YAG3W2vKC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134</v>
      </c>
      <c r="C3" s="69"/>
      <c r="D3" s="69"/>
      <c r="E3" s="69"/>
      <c r="F3" s="69"/>
      <c r="G3" s="1"/>
    </row>
    <row r="4" spans="1:7" ht="25.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32</v>
      </c>
      <c r="C8" s="76"/>
      <c r="D8" s="76"/>
      <c r="E8" s="76"/>
      <c r="F8" s="77"/>
      <c r="G8" s="1"/>
    </row>
    <row r="9" spans="1:7" ht="15" customHeight="1" x14ac:dyDescent="0.25">
      <c r="A9" s="1"/>
      <c r="B9" s="42" t="s">
        <v>33</v>
      </c>
      <c r="C9" s="87" t="s">
        <v>15</v>
      </c>
      <c r="D9" s="88"/>
      <c r="E9" s="87" t="s">
        <v>42</v>
      </c>
      <c r="F9" s="88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eCc4HcSFdJtD07VGFcnr1yM6mARSOKsoYAv8AJROxTpd04aHcO6ztk+O9urKyk9J9AbFlrS5wstBMU2q+/2smQ==" saltValue="Wc+5FjCeAXBAYWqXbZ3rc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135</v>
      </c>
      <c r="C3" s="69"/>
      <c r="D3" s="69"/>
      <c r="E3" s="69"/>
      <c r="F3" s="69"/>
      <c r="G3" s="1"/>
    </row>
    <row r="4" spans="1:7" ht="25.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91</v>
      </c>
      <c r="C8" s="76"/>
      <c r="D8" s="76"/>
      <c r="E8" s="76"/>
      <c r="F8" s="77"/>
      <c r="G8" s="1"/>
    </row>
    <row r="9" spans="1:7" ht="15" customHeight="1" x14ac:dyDescent="0.25">
      <c r="A9" s="1"/>
      <c r="B9" s="42" t="s">
        <v>25</v>
      </c>
      <c r="C9" s="42" t="s">
        <v>15</v>
      </c>
      <c r="D9" s="43"/>
      <c r="E9" s="42" t="s">
        <v>42</v>
      </c>
      <c r="F9" s="43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5" t="s">
        <v>92</v>
      </c>
      <c r="C14" s="76"/>
      <c r="D14" s="76"/>
      <c r="E14" s="76"/>
      <c r="F14" s="77"/>
      <c r="G14" s="1"/>
    </row>
    <row r="15" spans="1:7" ht="26.25" x14ac:dyDescent="0.25">
      <c r="A15" s="1"/>
      <c r="B15" s="42" t="s">
        <v>25</v>
      </c>
      <c r="C15" s="42" t="s">
        <v>15</v>
      </c>
      <c r="D15" s="43"/>
      <c r="E15" s="42" t="s">
        <v>42</v>
      </c>
      <c r="F15" s="43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4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4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5" t="s">
        <v>90</v>
      </c>
      <c r="C20" s="76"/>
      <c r="D20" s="76"/>
      <c r="E20" s="76"/>
      <c r="F20" s="77"/>
      <c r="G20" s="1"/>
    </row>
    <row r="21" spans="1:7" ht="26.25" x14ac:dyDescent="0.25">
      <c r="A21" s="1"/>
      <c r="B21" s="42" t="s">
        <v>25</v>
      </c>
      <c r="C21" s="42" t="s">
        <v>15</v>
      </c>
      <c r="D21" s="43"/>
      <c r="E21" s="42" t="s">
        <v>42</v>
      </c>
      <c r="F21" s="43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4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4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5" t="s">
        <v>93</v>
      </c>
      <c r="C26" s="76"/>
      <c r="D26" s="76"/>
      <c r="E26" s="76"/>
      <c r="F26" s="77"/>
      <c r="G26" s="1"/>
    </row>
    <row r="27" spans="1:7" ht="26.25" x14ac:dyDescent="0.25">
      <c r="A27" s="1"/>
      <c r="B27" s="42" t="s">
        <v>25</v>
      </c>
      <c r="C27" s="42" t="s">
        <v>15</v>
      </c>
      <c r="D27" s="43"/>
      <c r="E27" s="42" t="s">
        <v>42</v>
      </c>
      <c r="F27" s="43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4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4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QV/WNMttyVe7PKKW7ODH9ajzIsRrveDukpddm/YRAbLKilPp2egkkDGAxbHHnhCEQmzqBOHtkxJ8MNrX1du+fg==" saltValue="QVnYQbZ9ePDYr8uyQ0tsu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136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17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9" t="s">
        <v>11</v>
      </c>
      <c r="C9" s="90"/>
      <c r="D9" s="90"/>
      <c r="E9" s="90"/>
      <c r="F9" s="91"/>
      <c r="G9" s="8">
        <v>1148266</v>
      </c>
      <c r="H9" s="12" t="s">
        <v>3</v>
      </c>
      <c r="I9" s="1"/>
    </row>
    <row r="10" spans="1:9" x14ac:dyDescent="0.25">
      <c r="A10" s="1"/>
      <c r="B10" s="89" t="s">
        <v>77</v>
      </c>
      <c r="C10" s="90"/>
      <c r="D10" s="90"/>
      <c r="E10" s="90"/>
      <c r="F10" s="91"/>
      <c r="G10" s="8">
        <v>0</v>
      </c>
      <c r="H10" s="12" t="s">
        <v>3</v>
      </c>
      <c r="I10" s="1"/>
    </row>
    <row r="11" spans="1:9" x14ac:dyDescent="0.25">
      <c r="A11" s="1"/>
      <c r="B11" s="89" t="s">
        <v>69</v>
      </c>
      <c r="C11" s="90"/>
      <c r="D11" s="90"/>
      <c r="E11" s="90"/>
      <c r="F11" s="91"/>
      <c r="G11" s="8">
        <v>-1148265.6666666665</v>
      </c>
      <c r="H11" s="12" t="s">
        <v>3</v>
      </c>
      <c r="I11" s="1"/>
    </row>
    <row r="12" spans="1:9" x14ac:dyDescent="0.25">
      <c r="A12" s="1"/>
      <c r="B12" s="92" t="s">
        <v>14</v>
      </c>
      <c r="C12" s="93"/>
      <c r="D12" s="93"/>
      <c r="E12" s="93"/>
      <c r="F12" s="94"/>
      <c r="G12" s="17">
        <f>(G9+G10)+G11</f>
        <v>0.33333333348855376</v>
      </c>
      <c r="H12" s="16" t="s">
        <v>3</v>
      </c>
      <c r="I12" s="1"/>
    </row>
    <row r="13" spans="1:9" x14ac:dyDescent="0.25">
      <c r="A13" s="1"/>
      <c r="B13" s="89" t="s">
        <v>12</v>
      </c>
      <c r="C13" s="90"/>
      <c r="D13" s="90"/>
      <c r="E13" s="90"/>
      <c r="F13" s="91"/>
      <c r="G13" s="8">
        <v>0</v>
      </c>
      <c r="H13" s="12" t="s">
        <v>27</v>
      </c>
      <c r="I13" s="1"/>
    </row>
    <row r="14" spans="1:9" x14ac:dyDescent="0.25">
      <c r="A14" s="1"/>
      <c r="B14" s="75" t="s">
        <v>78</v>
      </c>
      <c r="C14" s="76"/>
      <c r="D14" s="76"/>
      <c r="E14" s="76"/>
      <c r="F14" s="77"/>
      <c r="G14" s="10">
        <f>IF(G13 = 0,0,-G12/G13)</f>
        <v>0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0AKnkLuSN844M6wkR6EBSgzvmWZn5Rwq22RwrtJHuUTK105SZ13o90/iHCioAJGWHYCypmIugz3lpxqIoWA6BA==" saltValue="yHT0Jcj15HfQeQMbvsIqd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69" t="s">
        <v>137</v>
      </c>
      <c r="C3" s="69"/>
      <c r="D3" s="1"/>
    </row>
    <row r="4" spans="1:4" ht="25.5" customHeight="1" x14ac:dyDescent="0.25">
      <c r="A4" s="1"/>
      <c r="B4" s="69"/>
      <c r="C4" s="6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4" t="s">
        <v>20</v>
      </c>
      <c r="C8" s="45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4"/>
      <c r="C13" s="45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4" t="s">
        <v>115</v>
      </c>
      <c r="C16" s="45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5"/>
      <c r="C18" s="96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GGQI86qiAlin1LtWNg32wOj/1oyy1OnRybca7tyRgM+GF3qrcrxJvYYeXf6OwtsDKrLzQRgYslC2m2SliIVvQw==" saltValue="Z4g5eZgGx3ECIAj1Mb+7HA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56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19</v>
      </c>
      <c r="C8" s="40"/>
      <c r="D8" s="40"/>
      <c r="E8" s="40"/>
      <c r="F8" s="40"/>
      <c r="G8" s="1"/>
    </row>
    <row r="9" spans="1:7" x14ac:dyDescent="0.25">
      <c r="A9" s="1"/>
      <c r="B9" s="36" t="s">
        <v>35</v>
      </c>
      <c r="C9" s="36"/>
      <c r="D9" s="36"/>
      <c r="E9" s="7">
        <f>'Fane 3. Omkostninger i ØR2019'!E15</f>
        <v>4513483.6183186183</v>
      </c>
      <c r="F9" s="36" t="s">
        <v>3</v>
      </c>
      <c r="G9" s="1"/>
    </row>
    <row r="10" spans="1:7" x14ac:dyDescent="0.25">
      <c r="A10" s="1"/>
      <c r="B10" s="38" t="s">
        <v>140</v>
      </c>
      <c r="C10" s="36"/>
      <c r="D10" s="36"/>
      <c r="E10" s="7">
        <f>'Fane 3. Omkostninger i ØR2019'!E10*(1-'Fane 12. Nøgletal'!C17)*(1+'Fane 12. Nøgletal'!C10)</f>
        <v>0</v>
      </c>
      <c r="F10" s="36" t="s">
        <v>3</v>
      </c>
      <c r="G10" s="1"/>
    </row>
    <row r="11" spans="1:7" x14ac:dyDescent="0.25">
      <c r="A11" s="1"/>
      <c r="B11" s="38" t="s">
        <v>143</v>
      </c>
      <c r="C11" s="36"/>
      <c r="D11" s="36"/>
      <c r="E11" s="7">
        <f>('Fane 3. Omkostninger i ØR2019'!E11+'Fane 3. Omkostninger i ØR2019'!E12)*(1-'Fane 12. Nøgletal'!C17)*(1+'Fane 12. Nøgletal'!C11)</f>
        <v>2159.0590724341196</v>
      </c>
      <c r="F11" s="36" t="s">
        <v>3</v>
      </c>
      <c r="G11" s="1"/>
    </row>
    <row r="12" spans="1:7" ht="17.100000000000001" customHeight="1" x14ac:dyDescent="0.25">
      <c r="A12" s="1"/>
      <c r="B12" s="31" t="s">
        <v>141</v>
      </c>
      <c r="C12" s="36"/>
      <c r="D12" s="36"/>
      <c r="E12" s="7">
        <f>'Fane 8.1. Varige tillæg'!C12+'Fane 8.1. Varige tillæg'!E12</f>
        <v>0</v>
      </c>
      <c r="F12" s="36" t="s">
        <v>3</v>
      </c>
      <c r="G12" s="1"/>
    </row>
    <row r="13" spans="1:7" ht="17.100000000000001" customHeight="1" x14ac:dyDescent="0.25">
      <c r="A13" s="1"/>
      <c r="B13" s="31" t="s">
        <v>144</v>
      </c>
      <c r="C13" s="36"/>
      <c r="D13" s="36"/>
      <c r="E13" s="8">
        <f>-('Fane 10. Bortfald'!C12+'Fane 10. Bortfald'!E12)</f>
        <v>0</v>
      </c>
      <c r="F13" s="36" t="s">
        <v>3</v>
      </c>
      <c r="G13" s="1"/>
    </row>
    <row r="14" spans="1:7" ht="17.100000000000001" customHeight="1" x14ac:dyDescent="0.25">
      <c r="A14" s="1"/>
      <c r="B14" s="31" t="s">
        <v>111</v>
      </c>
      <c r="C14" s="36"/>
      <c r="D14" s="36"/>
      <c r="E14" s="8">
        <f>'Fane 9. Tilknyttet aktivitet'!C12+'Fane 9. Tilknyttet aktivitet'!E12</f>
        <v>0</v>
      </c>
      <c r="F14" s="36" t="s">
        <v>3</v>
      </c>
      <c r="G14" s="1"/>
    </row>
    <row r="15" spans="1:7" ht="17.100000000000001" customHeight="1" x14ac:dyDescent="0.25">
      <c r="A15" s="1"/>
      <c r="B15" s="31" t="s">
        <v>26</v>
      </c>
      <c r="C15" s="36"/>
      <c r="D15" s="36"/>
      <c r="E15" s="8">
        <f>(E9-SUM(E10:E11))*'Fane 12. Nøgletal'!C9+E10*'Fane 12. Nøgletal'!C10+E11*'Fane 12. Nøgletal'!C11+SUM(E12:E14)*'Fane 12. Nøgletal'!C12</f>
        <v>57330.31000075068</v>
      </c>
      <c r="F15" s="36" t="s">
        <v>3</v>
      </c>
      <c r="G15" s="1"/>
    </row>
    <row r="16" spans="1:7" ht="17.100000000000001" customHeight="1" x14ac:dyDescent="0.25">
      <c r="A16" s="1"/>
      <c r="B16" s="31" t="s">
        <v>115</v>
      </c>
      <c r="C16" s="36"/>
      <c r="D16" s="36"/>
      <c r="E16" s="8">
        <f>-SUM(E9,E12:E15)*'Fane 12. Nøgletal'!C17</f>
        <v>-77703.836781429272</v>
      </c>
      <c r="F16" s="36" t="s">
        <v>3</v>
      </c>
      <c r="G16" s="1"/>
    </row>
    <row r="17" spans="1:7" ht="17.100000000000001" customHeight="1" x14ac:dyDescent="0.25">
      <c r="A17" s="1"/>
      <c r="B17" s="41" t="s">
        <v>28</v>
      </c>
      <c r="C17" s="39"/>
      <c r="D17" s="39"/>
      <c r="E17" s="9">
        <f>SUM(E9,E12:E16)</f>
        <v>4493110.0915379394</v>
      </c>
      <c r="F17" s="34" t="s">
        <v>3</v>
      </c>
      <c r="G17" s="1"/>
    </row>
    <row r="18" spans="1:7" ht="15" customHeight="1" x14ac:dyDescent="0.25">
      <c r="A18" s="1"/>
      <c r="B18" s="40" t="s">
        <v>16</v>
      </c>
      <c r="C18" s="40"/>
      <c r="D18" s="40"/>
      <c r="E18" s="40"/>
      <c r="F18" s="40"/>
      <c r="G18" s="1"/>
    </row>
    <row r="19" spans="1:7" ht="15" customHeight="1" x14ac:dyDescent="0.25">
      <c r="A19" s="1"/>
      <c r="B19" s="34" t="s">
        <v>16</v>
      </c>
      <c r="C19" s="34"/>
      <c r="D19" s="34"/>
      <c r="E19" s="9">
        <f>'Fane 4. Ikke-påvirkelige omk.'!C15</f>
        <v>2192158.19565666</v>
      </c>
      <c r="F19" s="34" t="s">
        <v>3</v>
      </c>
      <c r="G19" s="1"/>
    </row>
    <row r="20" spans="1:7" ht="15" customHeight="1" x14ac:dyDescent="0.25">
      <c r="A20" s="1"/>
      <c r="B20" s="40" t="s">
        <v>84</v>
      </c>
      <c r="C20" s="40"/>
      <c r="D20" s="40"/>
      <c r="E20" s="40"/>
      <c r="F20" s="40"/>
      <c r="G20" s="1"/>
    </row>
    <row r="21" spans="1:7" ht="15" customHeight="1" x14ac:dyDescent="0.25">
      <c r="A21" s="1"/>
      <c r="B21" s="31" t="s">
        <v>80</v>
      </c>
      <c r="C21" s="36"/>
      <c r="D21" s="36"/>
      <c r="E21" s="8">
        <f>'Fane 8.2. Engangstillæg'!C13</f>
        <v>0</v>
      </c>
      <c r="F21" s="36" t="s">
        <v>3</v>
      </c>
      <c r="G21" s="1"/>
    </row>
    <row r="22" spans="1:7" ht="15" customHeight="1" x14ac:dyDescent="0.25">
      <c r="A22" s="1"/>
      <c r="B22" s="31" t="s">
        <v>81</v>
      </c>
      <c r="C22" s="36"/>
      <c r="D22" s="36"/>
      <c r="E22" s="8">
        <f>'Fane 8.2. Engangstillæg'!E13</f>
        <v>0</v>
      </c>
      <c r="F22" s="36" t="s">
        <v>3</v>
      </c>
      <c r="G22" s="1"/>
    </row>
    <row r="23" spans="1:7" x14ac:dyDescent="0.25">
      <c r="A23" s="1"/>
      <c r="B23" s="41" t="s">
        <v>85</v>
      </c>
      <c r="C23" s="39"/>
      <c r="D23" s="39"/>
      <c r="E23" s="9">
        <f>SUM(E21:E22)</f>
        <v>0</v>
      </c>
      <c r="F23" s="34" t="s">
        <v>3</v>
      </c>
      <c r="G23" s="1"/>
    </row>
    <row r="24" spans="1:7" x14ac:dyDescent="0.25">
      <c r="A24" s="1"/>
      <c r="B24" s="40" t="s">
        <v>10</v>
      </c>
      <c r="C24" s="40"/>
      <c r="D24" s="40"/>
      <c r="E24" s="40"/>
      <c r="F24" s="40"/>
      <c r="G24" s="1"/>
    </row>
    <row r="25" spans="1:7" ht="15" customHeight="1" x14ac:dyDescent="0.25">
      <c r="A25" s="1"/>
      <c r="B25" s="34" t="s">
        <v>18</v>
      </c>
      <c r="C25" s="34"/>
      <c r="D25" s="34"/>
      <c r="E25" s="9">
        <f>'Fane 11. Hist. over-underdæk.'!G14</f>
        <v>0</v>
      </c>
      <c r="F25" s="34" t="s">
        <v>3</v>
      </c>
      <c r="G25" s="1"/>
    </row>
    <row r="26" spans="1:7" ht="15" customHeight="1" x14ac:dyDescent="0.25">
      <c r="A26" s="1"/>
      <c r="B26" s="40" t="s">
        <v>147</v>
      </c>
      <c r="C26" s="40"/>
      <c r="D26" s="40"/>
      <c r="E26" s="40"/>
      <c r="F26" s="40"/>
      <c r="G26" s="1"/>
    </row>
    <row r="27" spans="1:7" x14ac:dyDescent="0.25">
      <c r="A27" s="1"/>
      <c r="B27" s="34" t="s">
        <v>148</v>
      </c>
      <c r="C27" s="34"/>
      <c r="D27" s="34"/>
      <c r="E27" s="9">
        <f>'Fane 6. Korrektioner'!E10</f>
        <v>0</v>
      </c>
      <c r="F27" s="34" t="s">
        <v>3</v>
      </c>
      <c r="G27" s="1"/>
    </row>
    <row r="28" spans="1:7" x14ac:dyDescent="0.25">
      <c r="A28" s="1"/>
      <c r="B28" s="40" t="s">
        <v>36</v>
      </c>
      <c r="C28" s="40"/>
      <c r="D28" s="40"/>
      <c r="E28" s="10">
        <f>SUM(E17,E19,E23,E25,E27)</f>
        <v>6685268.2871945994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qf3C+0g/LCKo6ieGs004ORJWuMFqLynzpRHKrNrsCJQvV7s8n6wuERflKOk9laNPrtM07b08pf1ohaG4TmSZHg==" saltValue="YE8D4AcNEgPw3Tgmo+OBT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73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19</v>
      </c>
      <c r="C8" s="40"/>
      <c r="D8" s="40"/>
      <c r="E8" s="40"/>
      <c r="F8" s="40"/>
      <c r="G8" s="1"/>
    </row>
    <row r="9" spans="1:7" ht="15" customHeight="1" x14ac:dyDescent="0.25">
      <c r="A9" s="1"/>
      <c r="B9" s="36" t="s">
        <v>37</v>
      </c>
      <c r="C9" s="36"/>
      <c r="D9" s="36"/>
      <c r="E9" s="7">
        <f>'Fane 2.1. Økonomisk ramme 2020'!E17</f>
        <v>4493110.0915379394</v>
      </c>
      <c r="F9" s="36" t="s">
        <v>3</v>
      </c>
      <c r="G9" s="1"/>
    </row>
    <row r="10" spans="1:7" ht="15" customHeight="1" x14ac:dyDescent="0.25">
      <c r="A10" s="1"/>
      <c r="B10" s="36" t="s">
        <v>162</v>
      </c>
      <c r="C10" s="36"/>
      <c r="D10" s="36"/>
      <c r="E10" s="7">
        <v>66207.923134729092</v>
      </c>
      <c r="F10" s="36" t="s">
        <v>3</v>
      </c>
      <c r="G10" s="1"/>
    </row>
    <row r="11" spans="1:7" ht="15" customHeight="1" x14ac:dyDescent="0.25">
      <c r="A11" s="1"/>
      <c r="B11" s="31" t="s">
        <v>144</v>
      </c>
      <c r="C11" s="36"/>
      <c r="D11" s="36"/>
      <c r="E11" s="7">
        <f>-('Fane 10. Bortfald'!C18+'Fane 10. Bortfald'!E18)</f>
        <v>0</v>
      </c>
      <c r="F11" s="36" t="s">
        <v>3</v>
      </c>
      <c r="G11" s="1"/>
    </row>
    <row r="12" spans="1:7" ht="15" customHeight="1" x14ac:dyDescent="0.25">
      <c r="A12" s="1"/>
      <c r="B12" s="37" t="s">
        <v>26</v>
      </c>
      <c r="C12" s="36"/>
      <c r="D12" s="36"/>
      <c r="E12" s="8">
        <f>SUM(E9:E11)*'Fane 12. Nøgletal'!C12</f>
        <v>89818.564889051573</v>
      </c>
      <c r="F12" s="36" t="s">
        <v>3</v>
      </c>
      <c r="G12" s="1"/>
    </row>
    <row r="13" spans="1:7" ht="15" customHeight="1" x14ac:dyDescent="0.25">
      <c r="A13" s="1"/>
      <c r="B13" s="37" t="s">
        <v>115</v>
      </c>
      <c r="C13" s="36"/>
      <c r="D13" s="36"/>
      <c r="E13" s="8">
        <f>-SUM(E9:E12)*'Fane 12. Nøgletal'!C17</f>
        <v>-79035.321852549256</v>
      </c>
      <c r="F13" s="36" t="s">
        <v>3</v>
      </c>
      <c r="G13" s="1"/>
    </row>
    <row r="14" spans="1:7" ht="15" customHeight="1" x14ac:dyDescent="0.25">
      <c r="A14" s="1"/>
      <c r="B14" s="39" t="s">
        <v>28</v>
      </c>
      <c r="C14" s="39"/>
      <c r="D14" s="39"/>
      <c r="E14" s="9">
        <f>SUM(E9:E13)</f>
        <v>4570101.2577091716</v>
      </c>
      <c r="F14" s="34" t="s">
        <v>3</v>
      </c>
      <c r="G14" s="1"/>
    </row>
    <row r="15" spans="1:7" x14ac:dyDescent="0.25">
      <c r="A15" s="1"/>
      <c r="B15" s="40" t="s">
        <v>16</v>
      </c>
      <c r="C15" s="40"/>
      <c r="D15" s="40"/>
      <c r="E15" s="40"/>
      <c r="F15" s="40"/>
      <c r="G15" s="1"/>
    </row>
    <row r="16" spans="1:7" ht="15" customHeight="1" x14ac:dyDescent="0.25">
      <c r="A16" s="1"/>
      <c r="B16" s="34" t="s">
        <v>16</v>
      </c>
      <c r="C16" s="34"/>
      <c r="D16" s="34"/>
      <c r="E16" s="9">
        <f>'Fane 4. Ikke-påvirkelige omk.'!C15*(1+'Fane 12. Nøgletal'!C12)</f>
        <v>2235343.7121110964</v>
      </c>
      <c r="F16" s="34" t="s">
        <v>3</v>
      </c>
      <c r="G16" s="1"/>
    </row>
    <row r="17" spans="1:7" ht="15" customHeight="1" x14ac:dyDescent="0.25">
      <c r="A17" s="1"/>
      <c r="B17" s="40" t="s">
        <v>84</v>
      </c>
      <c r="C17" s="40"/>
      <c r="D17" s="40"/>
      <c r="E17" s="40"/>
      <c r="F17" s="40"/>
      <c r="G17" s="1"/>
    </row>
    <row r="18" spans="1:7" ht="15" customHeight="1" x14ac:dyDescent="0.25">
      <c r="A18" s="1"/>
      <c r="B18" s="31" t="s">
        <v>80</v>
      </c>
      <c r="C18" s="36"/>
      <c r="D18" s="36"/>
      <c r="E18" s="8">
        <f>'Fane 8.2. Engangstillæg'!C20</f>
        <v>0</v>
      </c>
      <c r="F18" s="36" t="s">
        <v>3</v>
      </c>
      <c r="G18" s="1"/>
    </row>
    <row r="19" spans="1:7" ht="15" customHeight="1" x14ac:dyDescent="0.25">
      <c r="A19" s="1"/>
      <c r="B19" s="31" t="s">
        <v>81</v>
      </c>
      <c r="C19" s="36"/>
      <c r="D19" s="36"/>
      <c r="E19" s="8">
        <f>'Fane 8.2. Engangstillæg'!E20</f>
        <v>0</v>
      </c>
      <c r="F19" s="36" t="s">
        <v>3</v>
      </c>
      <c r="G19" s="1"/>
    </row>
    <row r="20" spans="1:7" ht="15" customHeight="1" x14ac:dyDescent="0.25">
      <c r="A20" s="1"/>
      <c r="B20" s="41" t="s">
        <v>85</v>
      </c>
      <c r="C20" s="39"/>
      <c r="D20" s="39"/>
      <c r="E20" s="9">
        <f>SUM(E18:E19)</f>
        <v>0</v>
      </c>
      <c r="F20" s="34" t="s">
        <v>3</v>
      </c>
      <c r="G20" s="1"/>
    </row>
    <row r="21" spans="1:7" x14ac:dyDescent="0.25">
      <c r="A21" s="1"/>
      <c r="B21" s="40" t="s">
        <v>95</v>
      </c>
      <c r="C21" s="40"/>
      <c r="D21" s="40"/>
      <c r="E21" s="40"/>
      <c r="F21" s="40"/>
      <c r="G21" s="1"/>
    </row>
    <row r="22" spans="1:7" ht="15" customHeight="1" x14ac:dyDescent="0.25">
      <c r="A22" s="1"/>
      <c r="B22" s="34" t="s">
        <v>131</v>
      </c>
      <c r="C22" s="34"/>
      <c r="D22" s="34"/>
      <c r="E22" s="9">
        <f>'Fane 5. Kontrol af ØR2018'!E35</f>
        <v>-268075.44751991518</v>
      </c>
      <c r="F22" s="34" t="s">
        <v>3</v>
      </c>
      <c r="G22" s="1"/>
    </row>
    <row r="23" spans="1:7" x14ac:dyDescent="0.25">
      <c r="A23" s="1"/>
      <c r="B23" s="40" t="s">
        <v>39</v>
      </c>
      <c r="C23" s="40"/>
      <c r="D23" s="40"/>
      <c r="E23" s="10">
        <f>SUM(E14,E16,E20,E22)</f>
        <v>6537369.5223003533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jcQkvI7WKevVj9f1dSQxxT9jkYRYcLLxB8b/tLHKmGVATU6/lx8ZK4HfDNTPFdQD5kFO+YbiDIWN0pCPUGyu9g==" saltValue="uh3vF9ott8yiviKs3Oyxa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19</v>
      </c>
      <c r="C7" s="40"/>
      <c r="D7" s="40"/>
      <c r="E7" s="40"/>
      <c r="F7" s="40"/>
      <c r="G7" s="1"/>
    </row>
    <row r="8" spans="1:7" ht="15" customHeight="1" x14ac:dyDescent="0.25">
      <c r="A8" s="1"/>
      <c r="B8" s="36" t="s">
        <v>37</v>
      </c>
      <c r="C8" s="36"/>
      <c r="D8" s="36"/>
      <c r="E8" s="7">
        <f>'Fane 2.2. Økonomisk ramme 2021'!E14</f>
        <v>4570101.2577091716</v>
      </c>
      <c r="F8" s="36" t="s">
        <v>3</v>
      </c>
      <c r="G8" s="1"/>
    </row>
    <row r="9" spans="1:7" ht="15" customHeight="1" x14ac:dyDescent="0.25">
      <c r="A9" s="1"/>
      <c r="B9" s="36" t="s">
        <v>144</v>
      </c>
      <c r="C9" s="36"/>
      <c r="D9" s="36"/>
      <c r="E9" s="7">
        <f>-('Fane 10. Bortfald'!C24+'Fane 10. Bortfald'!E24)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SUM(E8:E9)*'Fane 12. Nøgletal'!C12</f>
        <v>90030.994776870677</v>
      </c>
      <c r="F10" s="36" t="s">
        <v>3</v>
      </c>
      <c r="G10" s="1"/>
    </row>
    <row r="11" spans="1:7" ht="15" customHeight="1" x14ac:dyDescent="0.25">
      <c r="A11" s="1"/>
      <c r="B11" s="37" t="s">
        <v>115</v>
      </c>
      <c r="C11" s="36"/>
      <c r="D11" s="36"/>
      <c r="E11" s="8">
        <f>-SUM(E8:E10)*'Fane 12. Nøgletal'!C17</f>
        <v>-79222.248292262724</v>
      </c>
      <c r="F11" s="36" t="s">
        <v>3</v>
      </c>
      <c r="G11" s="1"/>
    </row>
    <row r="12" spans="1:7" x14ac:dyDescent="0.25">
      <c r="A12" s="1"/>
      <c r="B12" s="39" t="s">
        <v>28</v>
      </c>
      <c r="C12" s="39"/>
      <c r="D12" s="39"/>
      <c r="E12" s="9">
        <f>SUM(E8:E11)</f>
        <v>4580910.00419378</v>
      </c>
      <c r="F12" s="34" t="s">
        <v>3</v>
      </c>
      <c r="G12" s="1"/>
    </row>
    <row r="13" spans="1:7" x14ac:dyDescent="0.25">
      <c r="A13" s="1"/>
      <c r="B13" s="40" t="s">
        <v>16</v>
      </c>
      <c r="C13" s="40"/>
      <c r="D13" s="40"/>
      <c r="E13" s="40"/>
      <c r="F13" s="40"/>
      <c r="G13" s="1"/>
    </row>
    <row r="14" spans="1:7" ht="15" customHeight="1" x14ac:dyDescent="0.25">
      <c r="A14" s="1"/>
      <c r="B14" s="34" t="s">
        <v>16</v>
      </c>
      <c r="C14" s="34"/>
      <c r="D14" s="34"/>
      <c r="E14" s="9">
        <f>'Fane 4. Ikke-påvirkelige omk.'!C15*(1+'Fane 12. Nøgletal'!C12)^2</f>
        <v>2279379.9832396847</v>
      </c>
      <c r="F14" s="34" t="s">
        <v>3</v>
      </c>
      <c r="G14" s="1"/>
    </row>
    <row r="15" spans="1:7" ht="15" customHeight="1" x14ac:dyDescent="0.25">
      <c r="A15" s="1"/>
      <c r="B15" s="40" t="s">
        <v>84</v>
      </c>
      <c r="C15" s="40"/>
      <c r="D15" s="40"/>
      <c r="E15" s="40"/>
      <c r="F15" s="40"/>
      <c r="G15" s="1"/>
    </row>
    <row r="16" spans="1:7" ht="15" customHeight="1" x14ac:dyDescent="0.25">
      <c r="A16" s="1"/>
      <c r="B16" s="31" t="s">
        <v>80</v>
      </c>
      <c r="C16" s="36"/>
      <c r="D16" s="36"/>
      <c r="E16" s="8">
        <f>'Fane 8.2. Engangstillæg'!C27</f>
        <v>0</v>
      </c>
      <c r="F16" s="36" t="s">
        <v>3</v>
      </c>
      <c r="G16" s="1"/>
    </row>
    <row r="17" spans="1:7" ht="15" customHeight="1" x14ac:dyDescent="0.25">
      <c r="A17" s="1"/>
      <c r="B17" s="31" t="s">
        <v>81</v>
      </c>
      <c r="C17" s="36"/>
      <c r="D17" s="36"/>
      <c r="E17" s="8">
        <f>'Fane 8.2. Engangstillæg'!E27</f>
        <v>0</v>
      </c>
      <c r="F17" s="36" t="s">
        <v>3</v>
      </c>
      <c r="G17" s="1"/>
    </row>
    <row r="18" spans="1:7" ht="15" customHeight="1" x14ac:dyDescent="0.25">
      <c r="A18" s="1"/>
      <c r="B18" s="41" t="s">
        <v>85</v>
      </c>
      <c r="C18" s="39"/>
      <c r="D18" s="39"/>
      <c r="E18" s="9">
        <f>SUM(E16:E17)</f>
        <v>0</v>
      </c>
      <c r="F18" s="34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40"/>
      <c r="F19" s="40"/>
      <c r="G19" s="1"/>
    </row>
    <row r="20" spans="1:7" ht="15" customHeight="1" x14ac:dyDescent="0.25">
      <c r="A20" s="1"/>
      <c r="B20" s="34" t="s">
        <v>131</v>
      </c>
      <c r="C20" s="34"/>
      <c r="D20" s="34"/>
      <c r="E20" s="9">
        <f>'Fane 2.2. Økonomisk ramme 2021'!E22</f>
        <v>-268075.44751991518</v>
      </c>
      <c r="F20" s="34" t="s">
        <v>3</v>
      </c>
      <c r="G20" s="1"/>
    </row>
    <row r="21" spans="1:7" x14ac:dyDescent="0.25">
      <c r="A21" s="1"/>
      <c r="B21" s="40" t="s">
        <v>40</v>
      </c>
      <c r="C21" s="40"/>
      <c r="D21" s="40"/>
      <c r="E21" s="10">
        <f>SUM(E12,E14,E18,E20)</f>
        <v>6592214.53991355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E0HqGADHEOzBb1DYODwGlh88gwcqV5Riw+ZcLWD1p6p66k4b0q2/IhAcEk+l4OK5Ha1tBhp1dSv0Nz97Z/ECyA==" saltValue="g5B6xMtCg9ycMXYOCidGg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145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19</v>
      </c>
      <c r="C7" s="40"/>
      <c r="D7" s="40"/>
      <c r="E7" s="40"/>
      <c r="F7" s="40"/>
      <c r="G7" s="1"/>
    </row>
    <row r="8" spans="1:7" ht="15" customHeight="1" x14ac:dyDescent="0.25">
      <c r="A8" s="1"/>
      <c r="B8" s="36" t="s">
        <v>38</v>
      </c>
      <c r="C8" s="36"/>
      <c r="D8" s="36"/>
      <c r="E8" s="7">
        <f>'Fane 2.3. Økonomisk ramme 2022'!E12</f>
        <v>4580910.00419378</v>
      </c>
      <c r="F8" s="36" t="s">
        <v>3</v>
      </c>
      <c r="G8" s="1"/>
    </row>
    <row r="9" spans="1:7" ht="15" customHeight="1" x14ac:dyDescent="0.25">
      <c r="A9" s="1"/>
      <c r="B9" s="36" t="s">
        <v>144</v>
      </c>
      <c r="C9" s="36"/>
      <c r="D9" s="36"/>
      <c r="E9" s="7">
        <f>-('Fane 10. Bortfald'!C30+'Fane 10. Bortfald'!E30)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E8*'Fane 12. Nøgletal'!C12</f>
        <v>90243.927082617462</v>
      </c>
      <c r="F10" s="36" t="s">
        <v>3</v>
      </c>
      <c r="G10" s="1"/>
    </row>
    <row r="11" spans="1:7" ht="15" customHeight="1" x14ac:dyDescent="0.25">
      <c r="A11" s="1"/>
      <c r="B11" s="37" t="s">
        <v>115</v>
      </c>
      <c r="C11" s="36"/>
      <c r="D11" s="36"/>
      <c r="E11" s="8">
        <f>-SUM(E8:E10)*'Fane 12. Nøgletal'!C17</f>
        <v>-79409.616831698775</v>
      </c>
      <c r="F11" s="36" t="s">
        <v>3</v>
      </c>
      <c r="G11" s="1"/>
    </row>
    <row r="12" spans="1:7" x14ac:dyDescent="0.25">
      <c r="A12" s="1"/>
      <c r="B12" s="39" t="s">
        <v>28</v>
      </c>
      <c r="C12" s="39"/>
      <c r="D12" s="39"/>
      <c r="E12" s="9">
        <f>SUM(E8:E11)</f>
        <v>4591744.3144446993</v>
      </c>
      <c r="F12" s="34" t="s">
        <v>3</v>
      </c>
      <c r="G12" s="1"/>
    </row>
    <row r="13" spans="1:7" x14ac:dyDescent="0.25">
      <c r="A13" s="1"/>
      <c r="B13" s="40" t="s">
        <v>16</v>
      </c>
      <c r="C13" s="40"/>
      <c r="D13" s="40"/>
      <c r="E13" s="40"/>
      <c r="F13" s="40"/>
      <c r="G13" s="1"/>
    </row>
    <row r="14" spans="1:7" ht="15" customHeight="1" x14ac:dyDescent="0.25">
      <c r="A14" s="1"/>
      <c r="B14" s="34" t="s">
        <v>16</v>
      </c>
      <c r="C14" s="34"/>
      <c r="D14" s="34"/>
      <c r="E14" s="9">
        <f>'Fane 4. Ikke-påvirkelige omk.'!C15*(1+'Fane 12. Nøgletal'!C12)^3</f>
        <v>2324283.7689095065</v>
      </c>
      <c r="F14" s="34" t="s">
        <v>3</v>
      </c>
      <c r="G14" s="1"/>
    </row>
    <row r="15" spans="1:7" ht="15" customHeight="1" x14ac:dyDescent="0.25">
      <c r="A15" s="1"/>
      <c r="B15" s="40" t="s">
        <v>84</v>
      </c>
      <c r="C15" s="40"/>
      <c r="D15" s="40"/>
      <c r="E15" s="40"/>
      <c r="F15" s="40"/>
      <c r="G15" s="1"/>
    </row>
    <row r="16" spans="1:7" ht="15" customHeight="1" x14ac:dyDescent="0.25">
      <c r="A16" s="1"/>
      <c r="B16" s="31" t="s">
        <v>80</v>
      </c>
      <c r="C16" s="36"/>
      <c r="D16" s="36"/>
      <c r="E16" s="8">
        <f>'Fane 8.2. Engangstillæg'!C34</f>
        <v>0</v>
      </c>
      <c r="F16" s="36" t="s">
        <v>3</v>
      </c>
      <c r="G16" s="1"/>
    </row>
    <row r="17" spans="1:7" ht="15" customHeight="1" x14ac:dyDescent="0.25">
      <c r="A17" s="1"/>
      <c r="B17" s="31" t="s">
        <v>81</v>
      </c>
      <c r="C17" s="36"/>
      <c r="D17" s="36"/>
      <c r="E17" s="8">
        <f>'Fane 8.2. Engangstillæg'!E34</f>
        <v>0</v>
      </c>
      <c r="F17" s="36" t="s">
        <v>3</v>
      </c>
      <c r="G17" s="1"/>
    </row>
    <row r="18" spans="1:7" ht="15" customHeight="1" x14ac:dyDescent="0.25">
      <c r="A18" s="1"/>
      <c r="B18" s="41" t="s">
        <v>85</v>
      </c>
      <c r="C18" s="39"/>
      <c r="D18" s="39"/>
      <c r="E18" s="9">
        <f>SUM(E16:E17)</f>
        <v>0</v>
      </c>
      <c r="F18" s="34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40"/>
      <c r="F19" s="40"/>
      <c r="G19" s="1"/>
    </row>
    <row r="20" spans="1:7" ht="15" customHeight="1" x14ac:dyDescent="0.25">
      <c r="A20" s="1"/>
      <c r="B20" s="34" t="s">
        <v>131</v>
      </c>
      <c r="C20" s="34"/>
      <c r="D20" s="34"/>
      <c r="E20" s="9">
        <f>'Fane 2.3. Økonomisk ramme 2022'!E20</f>
        <v>-268075.44751991518</v>
      </c>
      <c r="F20" s="34" t="s">
        <v>3</v>
      </c>
      <c r="G20" s="1"/>
    </row>
    <row r="21" spans="1:7" x14ac:dyDescent="0.25">
      <c r="A21" s="1"/>
      <c r="B21" s="40" t="s">
        <v>89</v>
      </c>
      <c r="C21" s="40"/>
      <c r="D21" s="40"/>
      <c r="E21" s="10">
        <f>SUM(E12,E14,E18,E20)</f>
        <v>6647952.6358342906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4K3aR+EkgElhlRPBTh2AcCSbaK+Hqk2ZZannCrPrFnHVOvFWxhelLN21V97QkRV9tQe3/yPBizSDsH+srcUjsw==" saltValue="jkErAM6pRvLdJ63quzwbg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138</v>
      </c>
      <c r="C3" s="69"/>
      <c r="D3" s="69"/>
      <c r="E3" s="69"/>
      <c r="F3" s="69"/>
      <c r="G3" s="1"/>
    </row>
    <row r="4" spans="1:7" ht="29.2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72</v>
      </c>
      <c r="C8" s="40"/>
      <c r="D8" s="40"/>
      <c r="E8" s="40"/>
      <c r="F8" s="40"/>
      <c r="G8" s="1"/>
    </row>
    <row r="9" spans="1:7" x14ac:dyDescent="0.25">
      <c r="A9" s="1"/>
      <c r="B9" s="70" t="s">
        <v>70</v>
      </c>
      <c r="C9" s="70"/>
      <c r="D9" s="70"/>
      <c r="E9" s="7">
        <v>4531789.6682088478</v>
      </c>
      <c r="F9" s="36" t="s">
        <v>3</v>
      </c>
      <c r="G9" s="1"/>
    </row>
    <row r="10" spans="1:7" x14ac:dyDescent="0.25">
      <c r="A10" s="1"/>
      <c r="B10" s="72" t="s">
        <v>140</v>
      </c>
      <c r="C10" s="72"/>
      <c r="D10" s="72"/>
      <c r="E10" s="7">
        <v>0</v>
      </c>
      <c r="F10" s="36" t="s">
        <v>3</v>
      </c>
      <c r="G10" s="1"/>
    </row>
    <row r="11" spans="1:7" x14ac:dyDescent="0.25">
      <c r="A11" s="1"/>
      <c r="B11" s="71" t="s">
        <v>141</v>
      </c>
      <c r="C11" s="71"/>
      <c r="D11" s="71"/>
      <c r="E11" s="7">
        <v>2159.8955999999998</v>
      </c>
      <c r="F11" s="36" t="s">
        <v>3</v>
      </c>
      <c r="G11" s="1"/>
    </row>
    <row r="12" spans="1:7" x14ac:dyDescent="0.25">
      <c r="A12" s="1"/>
      <c r="B12" s="71" t="s">
        <v>142</v>
      </c>
      <c r="C12" s="71"/>
      <c r="D12" s="71"/>
      <c r="E12" s="8">
        <v>0</v>
      </c>
      <c r="F12" s="36" t="s">
        <v>3</v>
      </c>
      <c r="G12" s="1"/>
    </row>
    <row r="13" spans="1:7" x14ac:dyDescent="0.25">
      <c r="A13" s="1"/>
      <c r="B13" s="71" t="s">
        <v>26</v>
      </c>
      <c r="C13" s="71"/>
      <c r="D13" s="71"/>
      <c r="E13" s="8">
        <f>(SUM(E9:E9)-SUM(E10:E10))*'Fane 12. Nøgletal'!C9+SUM(E10:E10)*'Fane 12. Nøgletal'!C10+SUM(E11:E12)*'Fane 12. Nøgletal'!C11</f>
        <v>57590.231021892367</v>
      </c>
      <c r="F13" s="36" t="s">
        <v>3</v>
      </c>
      <c r="G13" s="1"/>
    </row>
    <row r="14" spans="1:7" x14ac:dyDescent="0.25">
      <c r="A14" s="1"/>
      <c r="B14" s="71" t="s">
        <v>115</v>
      </c>
      <c r="C14" s="71"/>
      <c r="D14" s="71"/>
      <c r="E14" s="8">
        <f>-SUM(E9:E9,E11:E13)*'Fane 12. Nøgletal'!C17</f>
        <v>-78056.176512122591</v>
      </c>
      <c r="F14" s="36" t="s">
        <v>3</v>
      </c>
      <c r="G14" s="1"/>
    </row>
    <row r="15" spans="1:7" x14ac:dyDescent="0.25">
      <c r="A15" s="1"/>
      <c r="B15" s="73" t="s">
        <v>28</v>
      </c>
      <c r="C15" s="73"/>
      <c r="D15" s="73"/>
      <c r="E15" s="9">
        <f>SUM(E9,E11:E14)</f>
        <v>4513483.6183186183</v>
      </c>
      <c r="F15" s="34" t="s">
        <v>3</v>
      </c>
      <c r="G15" s="1"/>
    </row>
    <row r="16" spans="1:7" x14ac:dyDescent="0.25">
      <c r="A16" s="1"/>
      <c r="B16" s="74" t="s">
        <v>16</v>
      </c>
      <c r="C16" s="74"/>
      <c r="D16" s="74"/>
      <c r="E16" s="40"/>
      <c r="F16" s="40"/>
      <c r="G16" s="1"/>
    </row>
    <row r="17" spans="1:7" x14ac:dyDescent="0.25">
      <c r="A17" s="1"/>
      <c r="B17" s="68" t="s">
        <v>16</v>
      </c>
      <c r="C17" s="68"/>
      <c r="D17" s="68"/>
      <c r="E17" s="9">
        <v>2093715.2027382196</v>
      </c>
      <c r="F17" s="34" t="s">
        <v>3</v>
      </c>
      <c r="G17" s="1"/>
    </row>
    <row r="18" spans="1:7" x14ac:dyDescent="0.25">
      <c r="A18" s="1"/>
      <c r="B18" s="40" t="s">
        <v>71</v>
      </c>
      <c r="C18" s="40"/>
      <c r="D18" s="40"/>
      <c r="E18" s="40"/>
      <c r="F18" s="40"/>
      <c r="G18" s="1"/>
    </row>
    <row r="19" spans="1:7" ht="27" customHeight="1" x14ac:dyDescent="0.25">
      <c r="A19" s="1"/>
      <c r="B19" s="67" t="s">
        <v>74</v>
      </c>
      <c r="C19" s="67"/>
      <c r="D19" s="67"/>
      <c r="E19" s="9">
        <v>10036.022325418438</v>
      </c>
      <c r="F19" s="34" t="s">
        <v>3</v>
      </c>
      <c r="G19" s="1"/>
    </row>
    <row r="20" spans="1:7" x14ac:dyDescent="0.25">
      <c r="A20" s="1"/>
      <c r="B20" s="40" t="s">
        <v>10</v>
      </c>
      <c r="C20" s="40"/>
      <c r="D20" s="40"/>
      <c r="E20" s="40"/>
      <c r="F20" s="40"/>
      <c r="G20" s="1"/>
    </row>
    <row r="21" spans="1:7" x14ac:dyDescent="0.25">
      <c r="A21" s="1"/>
      <c r="B21" s="68" t="s">
        <v>18</v>
      </c>
      <c r="C21" s="68"/>
      <c r="D21" s="68"/>
      <c r="E21" s="9">
        <v>0</v>
      </c>
      <c r="F21" s="34" t="s">
        <v>3</v>
      </c>
      <c r="G21" s="1"/>
    </row>
    <row r="22" spans="1:7" x14ac:dyDescent="0.25">
      <c r="A22" s="1"/>
      <c r="B22" s="40" t="s">
        <v>23</v>
      </c>
      <c r="C22" s="40"/>
      <c r="D22" s="40"/>
      <c r="E22" s="10">
        <f>SUM(E21,E19,E17,E15)</f>
        <v>6617234.8433822561</v>
      </c>
      <c r="F22" s="11" t="s">
        <v>3</v>
      </c>
      <c r="G22" s="1"/>
    </row>
    <row r="23" spans="1:7" ht="28.5" customHeight="1" x14ac:dyDescent="0.25">
      <c r="A23" s="1"/>
      <c r="B23" s="66" t="s">
        <v>118</v>
      </c>
      <c r="C23" s="66"/>
      <c r="D23" s="66"/>
      <c r="E23" s="66"/>
      <c r="F23" s="66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u1EwHcFUatp3+TCI0258D7j9fqA7yD1zEEBzVZFyrTVKm2Sa5ztoiDCxp4F/UKgbGB6b5ccnOkxo/BVYNmmv8Q==" saltValue="IvRB1EectyLK7IEgiWxfTg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4" t="s">
        <v>110</v>
      </c>
      <c r="C3" s="64"/>
      <c r="D3" s="64"/>
      <c r="E3" s="1"/>
      <c r="F3" s="1"/>
    </row>
    <row r="4" spans="1:6" ht="15" customHeight="1" x14ac:dyDescent="0.25">
      <c r="A4" s="1"/>
      <c r="B4" s="64"/>
      <c r="C4" s="64"/>
      <c r="D4" s="64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5" t="s">
        <v>58</v>
      </c>
      <c r="C8" s="76"/>
      <c r="D8" s="77"/>
      <c r="E8" s="1"/>
      <c r="F8" s="1"/>
    </row>
    <row r="9" spans="1:6" ht="15" customHeight="1" x14ac:dyDescent="0.25">
      <c r="A9" s="1"/>
      <c r="B9" s="19" t="s">
        <v>43</v>
      </c>
      <c r="C9" s="34" t="s">
        <v>59</v>
      </c>
      <c r="D9" s="34"/>
      <c r="E9" s="1"/>
      <c r="F9" s="1"/>
    </row>
    <row r="10" spans="1:6" x14ac:dyDescent="0.25">
      <c r="A10" s="1"/>
      <c r="B10" s="30" t="s">
        <v>158</v>
      </c>
      <c r="C10" s="8">
        <v>2051822</v>
      </c>
      <c r="D10" s="12" t="s">
        <v>3</v>
      </c>
      <c r="E10" s="1"/>
      <c r="F10" s="1"/>
    </row>
    <row r="11" spans="1:6" x14ac:dyDescent="0.25">
      <c r="A11" s="1"/>
      <c r="B11" s="30" t="s">
        <v>159</v>
      </c>
      <c r="C11" s="8">
        <v>3876</v>
      </c>
      <c r="D11" s="12" t="s">
        <v>3</v>
      </c>
      <c r="E11" s="1"/>
      <c r="F11" s="1"/>
    </row>
    <row r="12" spans="1:6" x14ac:dyDescent="0.25">
      <c r="A12" s="1"/>
      <c r="B12" s="30" t="s">
        <v>160</v>
      </c>
      <c r="C12" s="8">
        <v>76</v>
      </c>
      <c r="D12" s="12" t="s">
        <v>3</v>
      </c>
      <c r="E12" s="1"/>
      <c r="F12" s="1"/>
    </row>
    <row r="13" spans="1:6" x14ac:dyDescent="0.25">
      <c r="A13" s="1"/>
      <c r="B13" s="30" t="s">
        <v>163</v>
      </c>
      <c r="C13" s="8">
        <v>52500</v>
      </c>
      <c r="D13" s="12" t="s">
        <v>3</v>
      </c>
      <c r="E13" s="1"/>
      <c r="F13" s="1"/>
    </row>
    <row r="14" spans="1:6" x14ac:dyDescent="0.25">
      <c r="A14" s="1"/>
      <c r="B14" s="44" t="s">
        <v>60</v>
      </c>
      <c r="C14" s="10">
        <f>SUM(C10:C13)</f>
        <v>2108274</v>
      </c>
      <c r="D14" s="11" t="s">
        <v>3</v>
      </c>
      <c r="E14" s="1"/>
      <c r="F14" s="1"/>
    </row>
    <row r="15" spans="1:6" x14ac:dyDescent="0.25">
      <c r="A15" s="1"/>
      <c r="B15" s="44" t="s">
        <v>61</v>
      </c>
      <c r="C15" s="10">
        <f>C14*(1+'Fane 12. Nøgletal'!C12)^2</f>
        <v>2192158.19565666</v>
      </c>
      <c r="D15" s="11" t="s">
        <v>3</v>
      </c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4"/>
      <c r="C17" s="13"/>
      <c r="D17" s="13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Ln5PcxKM7OBvvumGv0+NClSH/PQ9xzd8KvIQOzBAptBX3dycAxuOa6QbYfJLNayBYaRtEDv5KujIyKzN0eZqfQ==" saltValue="i/A5vu2Z5bfZAWUW5xA+J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9" t="s">
        <v>119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ht="15" customHeight="1" x14ac:dyDescent="0.25">
      <c r="A5" s="1"/>
      <c r="B5" s="35"/>
      <c r="C5" s="35"/>
      <c r="D5" s="35"/>
      <c r="E5" s="35"/>
      <c r="F5" s="35"/>
      <c r="G5" s="1"/>
    </row>
    <row r="6" spans="1:7" ht="15" customHeight="1" x14ac:dyDescent="0.25">
      <c r="A6" s="1"/>
      <c r="B6" s="78" t="s">
        <v>47</v>
      </c>
      <c r="C6" s="78"/>
      <c r="D6" s="78"/>
      <c r="E6" s="78"/>
      <c r="F6" s="78"/>
      <c r="G6" s="1"/>
    </row>
    <row r="7" spans="1:7" ht="15" customHeight="1" x14ac:dyDescent="0.25">
      <c r="A7" s="1"/>
      <c r="B7" s="79" t="s">
        <v>45</v>
      </c>
      <c r="C7" s="79"/>
      <c r="D7" s="79"/>
      <c r="E7" s="8">
        <v>-22267.016666666663</v>
      </c>
      <c r="F7" s="12" t="s">
        <v>3</v>
      </c>
      <c r="G7" s="1"/>
    </row>
    <row r="8" spans="1:7" ht="15" customHeight="1" x14ac:dyDescent="0.25">
      <c r="A8" s="1"/>
      <c r="B8" s="79" t="s">
        <v>46</v>
      </c>
      <c r="C8" s="79"/>
      <c r="D8" s="79"/>
      <c r="E8" s="8">
        <v>0</v>
      </c>
      <c r="F8" s="12" t="s">
        <v>3</v>
      </c>
      <c r="G8" s="1"/>
    </row>
    <row r="9" spans="1:7" ht="15" customHeight="1" x14ac:dyDescent="0.25">
      <c r="A9" s="1"/>
      <c r="B9" s="81" t="s">
        <v>129</v>
      </c>
      <c r="C9" s="82"/>
      <c r="D9" s="83"/>
      <c r="E9" s="9">
        <f>SUM(E7:E8)</f>
        <v>-22267.016666666663</v>
      </c>
      <c r="F9" s="15" t="s">
        <v>3</v>
      </c>
      <c r="G9" s="1"/>
    </row>
    <row r="10" spans="1:7" ht="15" customHeight="1" x14ac:dyDescent="0.25">
      <c r="A10" s="1"/>
      <c r="B10" s="75"/>
      <c r="C10" s="76"/>
      <c r="D10" s="76"/>
      <c r="E10" s="76"/>
      <c r="F10" s="77"/>
      <c r="G10" s="1"/>
    </row>
    <row r="11" spans="1:7" ht="27" customHeight="1" x14ac:dyDescent="0.25">
      <c r="A11" s="1"/>
      <c r="B11" s="66" t="s">
        <v>113</v>
      </c>
      <c r="C11" s="66"/>
      <c r="D11" s="66"/>
      <c r="E11" s="66"/>
      <c r="F11" s="66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8" t="s">
        <v>99</v>
      </c>
      <c r="C14" s="78"/>
      <c r="D14" s="78"/>
      <c r="E14" s="78"/>
      <c r="F14" s="78"/>
      <c r="G14" s="1"/>
    </row>
    <row r="15" spans="1:7" x14ac:dyDescent="0.25">
      <c r="A15" s="1"/>
      <c r="B15" s="79" t="s">
        <v>100</v>
      </c>
      <c r="C15" s="79"/>
      <c r="D15" s="79"/>
      <c r="E15" s="8">
        <v>6381775.9987781579</v>
      </c>
      <c r="F15" s="12" t="s">
        <v>3</v>
      </c>
      <c r="G15" s="1"/>
    </row>
    <row r="16" spans="1:7" x14ac:dyDescent="0.25">
      <c r="A16" s="1"/>
      <c r="B16" s="79" t="s">
        <v>101</v>
      </c>
      <c r="C16" s="79"/>
      <c r="D16" s="79"/>
      <c r="E16" s="8">
        <v>6799131</v>
      </c>
      <c r="F16" s="12" t="s">
        <v>3</v>
      </c>
      <c r="G16" s="1"/>
    </row>
    <row r="17" spans="1:7" x14ac:dyDescent="0.25">
      <c r="A17" s="1"/>
      <c r="B17" s="79" t="s">
        <v>44</v>
      </c>
      <c r="C17" s="79"/>
      <c r="D17" s="79"/>
      <c r="E17" s="8">
        <v>0</v>
      </c>
      <c r="F17" s="12" t="s">
        <v>3</v>
      </c>
      <c r="G17" s="1"/>
    </row>
    <row r="18" spans="1:7" x14ac:dyDescent="0.25">
      <c r="A18" s="1"/>
      <c r="B18" s="80" t="s">
        <v>130</v>
      </c>
      <c r="C18" s="80"/>
      <c r="D18" s="80"/>
      <c r="E18" s="9">
        <f>E15-(E16-E17)</f>
        <v>-417355.00122184213</v>
      </c>
      <c r="F18" s="15" t="s">
        <v>3</v>
      </c>
      <c r="G18" s="1"/>
    </row>
    <row r="19" spans="1:7" x14ac:dyDescent="0.25">
      <c r="A19" s="1"/>
      <c r="B19" s="84"/>
      <c r="C19" s="85"/>
      <c r="D19" s="85"/>
      <c r="E19" s="85"/>
      <c r="F19" s="86"/>
      <c r="G19" s="1"/>
    </row>
    <row r="20" spans="1:7" ht="28.5" customHeight="1" x14ac:dyDescent="0.25">
      <c r="A20" s="1"/>
      <c r="B20" s="66" t="s">
        <v>112</v>
      </c>
      <c r="C20" s="66"/>
      <c r="D20" s="66"/>
      <c r="E20" s="66"/>
      <c r="F20" s="66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78" t="s">
        <v>66</v>
      </c>
      <c r="C23" s="78"/>
      <c r="D23" s="78"/>
      <c r="E23" s="78"/>
      <c r="F23" s="78"/>
      <c r="G23" s="1"/>
    </row>
    <row r="24" spans="1:7" x14ac:dyDescent="0.25">
      <c r="A24" s="1"/>
      <c r="B24" s="79" t="s">
        <v>67</v>
      </c>
      <c r="C24" s="79"/>
      <c r="D24" s="79"/>
      <c r="E24" s="8">
        <v>6867101.227808848</v>
      </c>
      <c r="F24" s="12" t="s">
        <v>3</v>
      </c>
      <c r="G24" s="1"/>
    </row>
    <row r="25" spans="1:7" x14ac:dyDescent="0.25">
      <c r="A25" s="1"/>
      <c r="B25" s="79" t="s">
        <v>68</v>
      </c>
      <c r="C25" s="79"/>
      <c r="D25" s="79"/>
      <c r="E25" s="8">
        <v>7499781</v>
      </c>
      <c r="F25" s="12" t="s">
        <v>3</v>
      </c>
      <c r="G25" s="1"/>
    </row>
    <row r="26" spans="1:7" x14ac:dyDescent="0.25">
      <c r="A26" s="1"/>
      <c r="B26" s="79" t="s">
        <v>44</v>
      </c>
      <c r="C26" s="79"/>
      <c r="D26" s="79"/>
      <c r="E26" s="8">
        <v>0</v>
      </c>
      <c r="F26" s="12" t="s">
        <v>3</v>
      </c>
      <c r="G26" s="1"/>
    </row>
    <row r="27" spans="1:7" x14ac:dyDescent="0.25">
      <c r="A27" s="1"/>
      <c r="B27" s="80" t="s">
        <v>130</v>
      </c>
      <c r="C27" s="80"/>
      <c r="D27" s="80"/>
      <c r="E27" s="9">
        <f>E24-(E25-E26)</f>
        <v>-632679.77219115198</v>
      </c>
      <c r="F27" s="15" t="s">
        <v>3</v>
      </c>
      <c r="G27" s="1"/>
    </row>
    <row r="28" spans="1:7" x14ac:dyDescent="0.25">
      <c r="A28" s="1"/>
      <c r="B28" s="75"/>
      <c r="C28" s="76"/>
      <c r="D28" s="76"/>
      <c r="E28" s="76"/>
      <c r="F28" s="77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78" t="s">
        <v>114</v>
      </c>
      <c r="C31" s="78"/>
      <c r="D31" s="78"/>
      <c r="E31" s="78"/>
      <c r="F31" s="78"/>
      <c r="G31" s="1"/>
    </row>
    <row r="32" spans="1:7" x14ac:dyDescent="0.25">
      <c r="A32" s="1"/>
      <c r="B32" s="72" t="s">
        <v>47</v>
      </c>
      <c r="C32" s="72"/>
      <c r="D32" s="72"/>
      <c r="E32" s="8">
        <f>E9</f>
        <v>-22267.016666666663</v>
      </c>
      <c r="F32" s="12" t="s">
        <v>3</v>
      </c>
      <c r="G32" s="1"/>
    </row>
    <row r="33" spans="1:7" x14ac:dyDescent="0.25">
      <c r="A33" s="1"/>
      <c r="B33" s="72" t="s">
        <v>128</v>
      </c>
      <c r="C33" s="72"/>
      <c r="D33" s="72"/>
      <c r="E33" s="8">
        <f>IF(E18+E27&lt;0,E18+E27,0)</f>
        <v>-1050034.7734129941</v>
      </c>
      <c r="F33" s="12" t="s">
        <v>3</v>
      </c>
      <c r="G33" s="1"/>
    </row>
    <row r="34" spans="1:7" x14ac:dyDescent="0.25">
      <c r="A34" s="1"/>
      <c r="B34" s="72" t="s">
        <v>122</v>
      </c>
      <c r="C34" s="72"/>
      <c r="D34" s="72"/>
      <c r="E34" s="8">
        <v>4</v>
      </c>
      <c r="F34" s="12" t="s">
        <v>27</v>
      </c>
      <c r="G34" s="1"/>
    </row>
    <row r="35" spans="1:7" x14ac:dyDescent="0.25">
      <c r="A35" s="1"/>
      <c r="B35" s="80" t="s">
        <v>149</v>
      </c>
      <c r="C35" s="80"/>
      <c r="D35" s="80"/>
      <c r="E35" s="9">
        <f>SUM(E32:E33)/E34</f>
        <v>-268075.44751991518</v>
      </c>
      <c r="F35" s="15" t="s">
        <v>3</v>
      </c>
      <c r="G35" s="1"/>
    </row>
    <row r="36" spans="1:7" x14ac:dyDescent="0.25">
      <c r="A36" s="1"/>
      <c r="B36" s="78"/>
      <c r="C36" s="78"/>
      <c r="D36" s="78"/>
      <c r="E36" s="78"/>
      <c r="F36" s="78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p5MMVhblYKevp1J6o+BrdvNJ60YhhumJ7Sw2DJPBaSaDl2o//0wRofJpTVSGaDEJU5ne52gBNA/5lpovnjnmXw==" saltValue="S0wVN05xx5xrsQk9jY1hEw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9" t="s">
        <v>150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78" t="s">
        <v>94</v>
      </c>
      <c r="C8" s="78"/>
      <c r="D8" s="78"/>
      <c r="E8" s="78"/>
      <c r="F8" s="78"/>
      <c r="G8" s="1"/>
    </row>
    <row r="9" spans="1:7" ht="28.5" customHeight="1" x14ac:dyDescent="0.25">
      <c r="A9" s="1"/>
      <c r="B9" s="67" t="s">
        <v>98</v>
      </c>
      <c r="C9" s="67"/>
      <c r="D9" s="67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4" t="s">
        <v>3</v>
      </c>
      <c r="G9" s="1"/>
    </row>
    <row r="10" spans="1:7" x14ac:dyDescent="0.25">
      <c r="A10" s="1"/>
      <c r="B10" s="40" t="s">
        <v>109</v>
      </c>
      <c r="C10" s="40"/>
      <c r="D10" s="40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PGWAcpI8WfvluUg4w7WcqE1eR+deN5o7xLDtlBVqV1LF07HgM1oMLl9iNdqvy9z0HoB/cW5pr9wiuKYSPWanng==" saltValue="cgkd8U73MaL7FQkAC8DAQA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2019-08-22T09:56:07Z</dcterms:modified>
</cp:coreProperties>
</file>