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ssens Vandværk AS (V01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3" i="11" l="1"/>
  <c r="E12" i="11"/>
  <c r="E11" i="11" l="1"/>
  <c r="E14" i="11"/>
  <c r="E10" i="1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5" i="11"/>
  <c r="C10" i="37" s="1"/>
  <c r="C11" i="37" s="1"/>
  <c r="C12" i="37" s="1"/>
  <c r="G15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5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<sst xmlns="http://schemas.openxmlformats.org/spreadsheetml/2006/main" count="432" uniqueCount="168">
  <si>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</si>
  <si>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</si>
  <si>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</si>
  <si>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</si>
  <si>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</si>
  <si>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</si>
  <si>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</si>
  <si>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</si>
  <si>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</si>
  <si>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</si>
  <si>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</si>
  <si>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</si>
  <si>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</si>
  <si>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</si>
  <si>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</si>
  <si>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</si>
  <si>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</si>
  <si>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</si>
  <si>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</si>
  <si>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</si>
  <si>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</si>
  <si>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</si>
  <si>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</si>
  <si>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</si>
  <si>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</si>
  <si>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</si>
  <si>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</si>
  <si>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</si>
  <si>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</si>
  <si>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</si>
  <si>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</si>
  <si>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</si>
  <si>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</si>
  <si>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</si>
  <si>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</si>
  <si>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</si>
  <si>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</si>
  <si>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</si>
  <si>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</si>
  <si>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</si>
  <si>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</si>
  <si>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</si>
  <si>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</si>
  <si>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</si>
  <si>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</si>
  <si>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</si>
  <si>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</si>
  <si>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</si>
  <si>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</si>
  <si>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</si>
  <si>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</si>
  <si>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</si>
  <si>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</si>
  <si>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</si>
  <si>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</si>
  <si>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</si>
  <si>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</si>
  <si>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</si>
  <si>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</si>
  <si>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</si>
  <si>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</si>
  <si>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</si>
  <si>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</si>
  <si>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</si>
  <si>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</si>
  <si>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</si>
  <si>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</si>
  <si>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</si>
  <si>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</si>
  <si>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</si>
  <si>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</si>
  <si>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</si>
  <si>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</si>
  <si>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</si>
  <si>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</si>
  <si>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</si>
  <si>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</si>
  <si>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</si>
  <si>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</si>
  <si>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</si>
  <si>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</si>
  <si>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</si>
  <si>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</si>
  <si>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</si>
  <si>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</si>
  <si>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</si>
  <si>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</si>
  <si>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</si>
  <si>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</si>
  <si>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</si>
  <si>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</si>
  <si>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</si>
  <si>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</si>
  <si>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</si>
  <si>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</si>
  <si>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</si>
  <si>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</si>
  <si>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</si>
  <si>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</si>
  <si>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</si>
  <si>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</si>
  <si>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</si>
  <si>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</si>
  <si>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</si>
  <si>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</si>
  <si>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</si>
  <si>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</si>
  <si>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</si>
  <si>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</si>
  <si>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</si>
  <si>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</si>
  <si>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</si>
  <si>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</si>
  <si>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</si>
  <si>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</si>
  <si>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</si>
  <si>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</si>
  <si>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</si>
  <si>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</si>
  <si>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</si>
  <si>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</si>
  <si>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</si>
  <si>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</si>
  <si>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</si>
  <si>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</si>
  <si>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</si>
  <si>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</si>
  <si>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</si>
  <si>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</si>
  <si>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</si>
  <si>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</si>
  <si>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</si>
  <si>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</si>
  <si>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</si>
  <si>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</si>
  <si>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</si>
  <si>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</si>
  <si>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</si>
  <si>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</si>
  <si>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</si>
  <si>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</si>
  <si>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</si>
  <si>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</si>
  <si>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</si>
  <si>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</si>
  <si>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</si>
  <si>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</si>
  <si>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</si>
  <si>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</si>
  <si>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Selskabsskatter</t>
  </si>
  <si>
    <t>Erstatninger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</si>
  <si>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</si>
  <si>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</si>
  <si>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</si>
  <si>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</si>
  <si>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</si>
  <si>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</si>
  <si>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</si>
  <si>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</si>
  <si>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</si>
  <si>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</si>
  <si>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SRO-brønd/kvarterbrønd/sektionsbrønd, Konstruktioner</t>
  </si>
  <si>
    <t>Ventiler på Ø 50mm &lt; Ledningsnet ≤ Ø110 mm</t>
  </si>
  <si>
    <t>Ledningsnet ≤ Ø50 mm</t>
  </si>
  <si>
    <t>Ø 50mm &lt; Ledningsnet ≤ Ø110 mm</t>
  </si>
  <si>
    <t>Ø110 mm &lt; Ledningsnet ≤ Ø 250 mm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</si>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</sst>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2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25">
      <c r="A8" s="1"/>
      <c r="B8" s="1"/>
      <c r="C8" s="4"/>
      <c r="D8" s="57" t="s">
        <v>116</v>
      </c>
      <c r="E8" s="57"/>
      <c r="F8" s="57"/>
      <c r="G8" s="5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9" t="s">
        <v>49</v>
      </c>
      <c r="E13" s="50"/>
      <c r="F13" s="50"/>
      <c r="G13" s="51"/>
      <c r="H13" s="1"/>
      <c r="I13" s="1"/>
    </row>
    <row r="14" spans="1:9" x14ac:dyDescent="0.25">
      <c r="A14" s="1"/>
      <c r="B14" s="1"/>
      <c r="C14" s="6" t="s">
        <v>22</v>
      </c>
      <c r="D14" s="49" t="s">
        <v>117</v>
      </c>
      <c r="E14" s="50"/>
      <c r="F14" s="50"/>
      <c r="G14" s="51"/>
      <c r="H14" s="1"/>
      <c r="I14" s="1"/>
    </row>
    <row r="15" spans="1:9" x14ac:dyDescent="0.25">
      <c r="A15" s="1"/>
      <c r="B15" s="1"/>
      <c r="C15" s="6" t="s">
        <v>48</v>
      </c>
      <c r="D15" s="49" t="s">
        <v>75</v>
      </c>
      <c r="E15" s="50"/>
      <c r="F15" s="50"/>
      <c r="G15" s="51"/>
      <c r="H15" s="1"/>
      <c r="I15" s="1"/>
    </row>
    <row r="16" spans="1:9" x14ac:dyDescent="0.25">
      <c r="A16" s="1"/>
      <c r="B16" s="1"/>
      <c r="C16" s="6" t="s">
        <v>50</v>
      </c>
      <c r="D16" s="49" t="s">
        <v>76</v>
      </c>
      <c r="E16" s="50"/>
      <c r="F16" s="50"/>
      <c r="G16" s="51"/>
      <c r="H16" s="1"/>
      <c r="I16" s="1"/>
    </row>
    <row r="17" spans="1:9" x14ac:dyDescent="0.25">
      <c r="A17" s="1"/>
      <c r="B17" s="1"/>
      <c r="C17" s="6" t="s">
        <v>139</v>
      </c>
      <c r="D17" s="49" t="s">
        <v>57</v>
      </c>
      <c r="E17" s="50"/>
      <c r="F17" s="50"/>
      <c r="G17" s="51"/>
      <c r="H17" s="1"/>
      <c r="I17" s="1"/>
    </row>
    <row r="18" spans="1:9" x14ac:dyDescent="0.25">
      <c r="A18" s="1"/>
      <c r="B18" s="1"/>
      <c r="C18" s="6" t="s">
        <v>7</v>
      </c>
      <c r="D18" s="61" t="s">
        <v>16</v>
      </c>
      <c r="E18" s="62"/>
      <c r="F18" s="62"/>
      <c r="G18" s="63"/>
      <c r="H18" s="1"/>
      <c r="I18" s="1"/>
    </row>
    <row r="19" spans="1:9" x14ac:dyDescent="0.25">
      <c r="A19" s="1"/>
      <c r="B19" s="1"/>
      <c r="C19" s="6" t="s">
        <v>8</v>
      </c>
      <c r="D19" s="53" t="s">
        <v>97</v>
      </c>
      <c r="E19" s="54"/>
      <c r="F19" s="54"/>
      <c r="G19" s="55"/>
      <c r="H19" s="1"/>
      <c r="I19" s="1"/>
    </row>
    <row r="20" spans="1:9" x14ac:dyDescent="0.25">
      <c r="A20" s="1"/>
      <c r="B20" s="1"/>
      <c r="C20" s="6" t="s">
        <v>123</v>
      </c>
      <c r="D20" s="53" t="s">
        <v>152</v>
      </c>
      <c r="E20" s="54"/>
      <c r="F20" s="54"/>
      <c r="G20" s="55"/>
      <c r="H20" s="1"/>
      <c r="I20" s="1"/>
    </row>
    <row r="21" spans="1:9" x14ac:dyDescent="0.25">
      <c r="A21" s="1"/>
      <c r="B21" s="1"/>
      <c r="C21" s="6" t="s">
        <v>82</v>
      </c>
      <c r="D21" s="53" t="s">
        <v>51</v>
      </c>
      <c r="E21" s="54"/>
      <c r="F21" s="54"/>
      <c r="G21" s="55"/>
      <c r="H21" s="1"/>
      <c r="I21" s="1"/>
    </row>
    <row r="22" spans="1:9" x14ac:dyDescent="0.25">
      <c r="A22" s="1"/>
      <c r="B22" s="1"/>
      <c r="C22" s="6" t="s">
        <v>124</v>
      </c>
      <c r="D22" s="53" t="s">
        <v>83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125</v>
      </c>
      <c r="D23" s="53" t="s">
        <v>84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52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96</v>
      </c>
      <c r="D25" s="53" t="s">
        <v>53</v>
      </c>
      <c r="E25" s="54"/>
      <c r="F25" s="54"/>
      <c r="G25" s="55"/>
      <c r="H25" s="1"/>
      <c r="I25" s="1"/>
    </row>
    <row r="26" spans="1:9" x14ac:dyDescent="0.25">
      <c r="A26" s="1"/>
      <c r="B26" s="1"/>
      <c r="C26" s="6" t="s">
        <v>126</v>
      </c>
      <c r="D26" s="64" t="s">
        <v>10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</v>
      </c>
      <c r="D27" s="58" t="s">
        <v>127</v>
      </c>
      <c r="E27" s="59"/>
      <c r="F27" s="59"/>
      <c r="G27" s="60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M+aWF6riGx5oUbxhfVeDrAMYh5uj+R74hZW2cV7Q6NZDKKlmXcvrBD/Cra/tDGY2dCauY14wVGWVJ9gPRjRwbw==" saltValue="e/rZ/GEaL4buD/nNwBxEcQ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156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157</v>
      </c>
      <c r="C8" s="79"/>
      <c r="D8" s="79"/>
      <c r="E8" s="79"/>
      <c r="F8" s="79"/>
      <c r="G8" s="79"/>
      <c r="H8" s="80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7" t="s">
        <v>2</v>
      </c>
      <c r="F9" s="37" t="s">
        <v>15</v>
      </c>
      <c r="G9" s="37" t="s">
        <v>41</v>
      </c>
      <c r="H9" s="46"/>
      <c r="I9" s="1"/>
    </row>
    <row r="10" spans="1:9" ht="39" x14ac:dyDescent="0.25">
      <c r="A10" s="1"/>
      <c r="B10" s="34" t="s">
        <v>161</v>
      </c>
      <c r="C10" s="35">
        <v>50</v>
      </c>
      <c r="D10" s="8">
        <v>150000</v>
      </c>
      <c r="E10" s="8">
        <f>IFERROR(D10/C10,0)</f>
        <v>3000</v>
      </c>
      <c r="F10" s="8">
        <v>0</v>
      </c>
      <c r="G10" s="8">
        <v>3795</v>
      </c>
      <c r="H10" s="12" t="s">
        <v>3</v>
      </c>
      <c r="I10" s="1"/>
    </row>
    <row r="11" spans="1:9" ht="26.25" x14ac:dyDescent="0.25">
      <c r="A11" s="1"/>
      <c r="B11" s="34" t="s">
        <v>162</v>
      </c>
      <c r="C11" s="36">
        <v>75</v>
      </c>
      <c r="D11" s="8">
        <v>2075540.64</v>
      </c>
      <c r="E11" s="8">
        <f t="shared" ref="E11:E14" si="0">IFERROR(D11/C11,0)</f>
        <v>27673.875199999999</v>
      </c>
      <c r="F11" s="8">
        <v>0</v>
      </c>
      <c r="G11" s="8">
        <v>52511.18</v>
      </c>
      <c r="H11" s="12" t="s">
        <v>3</v>
      </c>
      <c r="I11" s="1"/>
    </row>
    <row r="12" spans="1:9" x14ac:dyDescent="0.25">
      <c r="A12" s="1"/>
      <c r="B12" s="34" t="s">
        <v>163</v>
      </c>
      <c r="C12" s="35">
        <v>75</v>
      </c>
      <c r="D12" s="8">
        <v>170820.7</v>
      </c>
      <c r="E12" s="8">
        <f t="shared" ref="E12:E13" si="1">IFERROR(D12/C12,0)</f>
        <v>2277.6093333333333</v>
      </c>
      <c r="F12" s="8">
        <v>0</v>
      </c>
      <c r="G12" s="8">
        <v>4321.76</v>
      </c>
      <c r="H12" s="12" t="s">
        <v>3</v>
      </c>
      <c r="I12" s="1"/>
    </row>
    <row r="13" spans="1:9" ht="26.25" x14ac:dyDescent="0.25">
      <c r="A13" s="1"/>
      <c r="B13" s="34" t="s">
        <v>164</v>
      </c>
      <c r="C13" s="35">
        <v>75</v>
      </c>
      <c r="D13" s="8">
        <v>1109028.95</v>
      </c>
      <c r="E13" s="8">
        <f t="shared" si="1"/>
        <v>14787.052666666666</v>
      </c>
      <c r="F13" s="8">
        <v>0</v>
      </c>
      <c r="G13" s="8">
        <v>28058.43</v>
      </c>
      <c r="H13" s="12" t="s">
        <v>3</v>
      </c>
      <c r="I13" s="1"/>
    </row>
    <row r="14" spans="1:9" ht="26.25" x14ac:dyDescent="0.25">
      <c r="A14" s="1"/>
      <c r="B14" s="34" t="s">
        <v>165</v>
      </c>
      <c r="C14" s="35">
        <v>75</v>
      </c>
      <c r="D14" s="8">
        <v>944540.52</v>
      </c>
      <c r="E14" s="8">
        <f t="shared" si="0"/>
        <v>12593.873600000001</v>
      </c>
      <c r="F14" s="8">
        <v>0</v>
      </c>
      <c r="G14" s="8">
        <v>23896.880000000001</v>
      </c>
      <c r="H14" s="12" t="s">
        <v>3</v>
      </c>
      <c r="I14" s="1"/>
    </row>
    <row r="15" spans="1:9" x14ac:dyDescent="0.25">
      <c r="A15" s="1"/>
      <c r="B15" s="78" t="s">
        <v>158</v>
      </c>
      <c r="C15" s="79"/>
      <c r="D15" s="80"/>
      <c r="E15" s="10">
        <f>SUM(E10:E14)</f>
        <v>60332.410799999991</v>
      </c>
      <c r="F15" s="10">
        <f>SUM(F10:F14)</f>
        <v>0</v>
      </c>
      <c r="G15" s="10">
        <f>SUM(G10:G14)</f>
        <v>112583.25</v>
      </c>
      <c r="H15" s="11" t="s">
        <v>3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t2exivs39nHU3dK7dzUi6VECiNT2ah/TE1SL+yr8uN1Rv6Eu9+UeALonBnzj4IdHbo70x1ri4ESkuWOxKxthFA==" saltValue="ono+tOabyYCy1DkUhRRt4w==" spinCount="100000" sheet="1" objects="1" scenarios="1"/>
  <mergeCells count="3">
    <mergeCell ref="B3:H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120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79</v>
      </c>
      <c r="C8" s="24"/>
      <c r="D8" s="24"/>
      <c r="E8" s="24"/>
      <c r="F8" s="48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166</v>
      </c>
      <c r="C10" s="21">
        <f>'Fane 7. Anlægsprojekter'!F15</f>
        <v>0</v>
      </c>
      <c r="D10" s="12" t="s">
        <v>3</v>
      </c>
      <c r="E10" s="8">
        <f>SUM('Fane 7. Anlægsprojekter'!E15,'Fane 7. Anlægsprojekter'!G15)</f>
        <v>172915.66079999998</v>
      </c>
      <c r="F10" s="12" t="s">
        <v>3</v>
      </c>
      <c r="G10" s="1"/>
    </row>
    <row r="11" spans="1:7" x14ac:dyDescent="0.25">
      <c r="A11" s="1"/>
      <c r="B11" s="47" t="s">
        <v>54</v>
      </c>
      <c r="C11" s="10">
        <f>SUM(C10:C10)</f>
        <v>0</v>
      </c>
      <c r="D11" s="11" t="s">
        <v>3</v>
      </c>
      <c r="E11" s="10">
        <f>SUM(E10:E10)</f>
        <v>172915.66079999998</v>
      </c>
      <c r="F11" s="11" t="s">
        <v>3</v>
      </c>
      <c r="G11" s="1"/>
    </row>
    <row r="12" spans="1:7" x14ac:dyDescent="0.25">
      <c r="A12" s="1"/>
      <c r="B12" s="47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176322.09931776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5TuX9l+T8nTaN99dmar0AD/uky7bgdCO4QEf1XmXbWRV4rVg62BN+lL+fEHiCwdeX01TW6LEif8NvMoWVd+GRg==" saltValue="7a+5xa4fPvh9cY8A9t+aF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121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102</v>
      </c>
      <c r="C8" s="79"/>
      <c r="D8" s="79"/>
      <c r="E8" s="79"/>
      <c r="F8" s="80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151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7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8" t="s">
        <v>103</v>
      </c>
      <c r="C15" s="79"/>
      <c r="D15" s="79"/>
      <c r="E15" s="79"/>
      <c r="F15" s="80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6"/>
      <c r="G16" s="1"/>
    </row>
    <row r="17" spans="1:7" x14ac:dyDescent="0.25">
      <c r="A17" s="1"/>
      <c r="B17" s="22" t="s">
        <v>151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7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7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8" t="s">
        <v>104</v>
      </c>
      <c r="C22" s="79"/>
      <c r="D22" s="79"/>
      <c r="E22" s="79"/>
      <c r="F22" s="80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6"/>
      <c r="G23" s="1"/>
    </row>
    <row r="24" spans="1:7" x14ac:dyDescent="0.25">
      <c r="A24" s="1"/>
      <c r="B24" s="22" t="s">
        <v>151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7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7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8" t="s">
        <v>105</v>
      </c>
      <c r="C29" s="79"/>
      <c r="D29" s="79"/>
      <c r="E29" s="79"/>
      <c r="F29" s="80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6"/>
      <c r="G30" s="1"/>
    </row>
    <row r="31" spans="1:7" x14ac:dyDescent="0.25">
      <c r="A31" s="1"/>
      <c r="B31" s="22" t="s">
        <v>151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7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7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AE1h4lMXpKZyp+RLM0j6ScqubQI7Zxlw5EPACaWm6Qj+TEiAPCPfvw6NnqODFSsOcdiNpmcw1rSh9xVcj0Mahw==" saltValue="GalLfiJEcPGECHD1hviQl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134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32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33</v>
      </c>
      <c r="C9" s="90" t="s">
        <v>15</v>
      </c>
      <c r="D9" s="91"/>
      <c r="E9" s="90" t="s">
        <v>42</v>
      </c>
      <c r="F9" s="91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0QbIOZx2Dqpfh7M0hryKlH6dNwZGimpPwEeUxRJEq5sh2B6QgSdxteHmYcbxHcslrexTZ4xSu3dSi9yyUZiNlA==" saltValue="WLyPN3tqO4T9IHnjNq4sC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135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91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25</v>
      </c>
      <c r="C9" s="45" t="s">
        <v>15</v>
      </c>
      <c r="D9" s="46"/>
      <c r="E9" s="45" t="s">
        <v>42</v>
      </c>
      <c r="F9" s="46"/>
      <c r="G9" s="1"/>
    </row>
    <row r="10" spans="1:7" x14ac:dyDescent="0.25">
      <c r="A10" s="1"/>
      <c r="B10" s="22" t="s">
        <v>160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92</v>
      </c>
      <c r="C14" s="79"/>
      <c r="D14" s="79"/>
      <c r="E14" s="79"/>
      <c r="F14" s="80"/>
      <c r="G14" s="1"/>
    </row>
    <row r="15" spans="1:7" ht="26.25" x14ac:dyDescent="0.25">
      <c r="A15" s="1"/>
      <c r="B15" s="45" t="s">
        <v>25</v>
      </c>
      <c r="C15" s="45" t="s">
        <v>15</v>
      </c>
      <c r="D15" s="46"/>
      <c r="E15" s="45" t="s">
        <v>42</v>
      </c>
      <c r="F15" s="46"/>
      <c r="G15" s="1"/>
    </row>
    <row r="16" spans="1:7" x14ac:dyDescent="0.25">
      <c r="A16" s="1"/>
      <c r="B16" s="22" t="s">
        <v>160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7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7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8" t="s">
        <v>90</v>
      </c>
      <c r="C20" s="79"/>
      <c r="D20" s="79"/>
      <c r="E20" s="79"/>
      <c r="F20" s="80"/>
      <c r="G20" s="1"/>
    </row>
    <row r="21" spans="1:7" ht="26.25" x14ac:dyDescent="0.25">
      <c r="A21" s="1"/>
      <c r="B21" s="45" t="s">
        <v>25</v>
      </c>
      <c r="C21" s="45" t="s">
        <v>15</v>
      </c>
      <c r="D21" s="46"/>
      <c r="E21" s="45" t="s">
        <v>42</v>
      </c>
      <c r="F21" s="46"/>
      <c r="G21" s="1"/>
    </row>
    <row r="22" spans="1:7" x14ac:dyDescent="0.25">
      <c r="A22" s="1"/>
      <c r="B22" s="22" t="s">
        <v>160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7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7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8" t="s">
        <v>93</v>
      </c>
      <c r="C26" s="79"/>
      <c r="D26" s="79"/>
      <c r="E26" s="79"/>
      <c r="F26" s="80"/>
      <c r="G26" s="1"/>
    </row>
    <row r="27" spans="1:7" ht="26.25" x14ac:dyDescent="0.25">
      <c r="A27" s="1"/>
      <c r="B27" s="45" t="s">
        <v>25</v>
      </c>
      <c r="C27" s="45" t="s">
        <v>15</v>
      </c>
      <c r="D27" s="46"/>
      <c r="E27" s="45" t="s">
        <v>42</v>
      </c>
      <c r="F27" s="46"/>
      <c r="G27" s="1"/>
    </row>
    <row r="28" spans="1:7" x14ac:dyDescent="0.25">
      <c r="A28" s="1"/>
      <c r="B28" s="22" t="s">
        <v>160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7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7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7g074Ug5GP/ydtViFyZaPmOco7twJebM8n7xtoPrHGNEdWM365F2f94fV5F+MEe94Bfolb6AwLehW+it1O7R3g==" saltValue="95O6UfV0gwyF1tP7punAu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17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92" t="s">
        <v>11</v>
      </c>
      <c r="C9" s="93"/>
      <c r="D9" s="93"/>
      <c r="E9" s="93"/>
      <c r="F9" s="94"/>
      <c r="G9" s="8">
        <v>5597764</v>
      </c>
      <c r="H9" s="12" t="s">
        <v>3</v>
      </c>
      <c r="I9" s="1"/>
    </row>
    <row r="10" spans="1:9" x14ac:dyDescent="0.25">
      <c r="A10" s="1"/>
      <c r="B10" s="92" t="s">
        <v>77</v>
      </c>
      <c r="C10" s="93"/>
      <c r="D10" s="93"/>
      <c r="E10" s="93"/>
      <c r="F10" s="94"/>
      <c r="G10" s="8">
        <v>0</v>
      </c>
      <c r="H10" s="12" t="s">
        <v>3</v>
      </c>
      <c r="I10" s="1"/>
    </row>
    <row r="11" spans="1:9" x14ac:dyDescent="0.25">
      <c r="A11" s="1"/>
      <c r="B11" s="92" t="s">
        <v>69</v>
      </c>
      <c r="C11" s="93"/>
      <c r="D11" s="93"/>
      <c r="E11" s="93"/>
      <c r="F11" s="94"/>
      <c r="G11" s="8">
        <v>-5069656.7566137565</v>
      </c>
      <c r="H11" s="12" t="s">
        <v>3</v>
      </c>
      <c r="I11" s="1"/>
    </row>
    <row r="12" spans="1:9" x14ac:dyDescent="0.25">
      <c r="A12" s="1"/>
      <c r="B12" s="95" t="s">
        <v>14</v>
      </c>
      <c r="C12" s="96"/>
      <c r="D12" s="96"/>
      <c r="E12" s="96"/>
      <c r="F12" s="97"/>
      <c r="G12" s="17">
        <f>(G9+G10)+G11</f>
        <v>528107.24338624347</v>
      </c>
      <c r="H12" s="16" t="s">
        <v>3</v>
      </c>
      <c r="I12" s="1"/>
    </row>
    <row r="13" spans="1:9" x14ac:dyDescent="0.25">
      <c r="A13" s="1"/>
      <c r="B13" s="92" t="s">
        <v>12</v>
      </c>
      <c r="C13" s="93"/>
      <c r="D13" s="93"/>
      <c r="E13" s="93"/>
      <c r="F13" s="94"/>
      <c r="G13" s="8">
        <v>1</v>
      </c>
      <c r="H13" s="12" t="s">
        <v>27</v>
      </c>
      <c r="I13" s="1"/>
    </row>
    <row r="14" spans="1:9" x14ac:dyDescent="0.25">
      <c r="A14" s="1"/>
      <c r="B14" s="78" t="s">
        <v>78</v>
      </c>
      <c r="C14" s="79"/>
      <c r="D14" s="79"/>
      <c r="E14" s="79"/>
      <c r="F14" s="80"/>
      <c r="G14" s="10">
        <f>IF(G13 = 0,0,-G12/G13)</f>
        <v>-528107.24338624347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FGBpkR9+YzGXTYIg4mjWrgzsk0IWAtG0wHgN+nf8I02A9tNgTCVeBwl97X1Ej7njFyhVzmLbP23SY3Xq2UuFw==" saltValue="0h3a2RlAEl5CJd2IS8MXE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2" t="s">
        <v>137</v>
      </c>
      <c r="C3" s="72"/>
      <c r="D3" s="1"/>
    </row>
    <row r="4" spans="1:4" ht="25.5" customHeight="1" x14ac:dyDescent="0.25">
      <c r="A4" s="1"/>
      <c r="B4" s="72"/>
      <c r="C4" s="7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20</v>
      </c>
      <c r="C8" s="48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7"/>
      <c r="C13" s="48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7" t="s">
        <v>115</v>
      </c>
      <c r="C16" s="48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8"/>
      <c r="C18" s="99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v7hnuROwwsErNqAOPuF/XUzUef5HWI3I9GeYkfoHeYLt6cOtY+SgtZWP/PTKOzNT+Nne2OJA2Z0coHjA3mI+1g==" saltValue="dbbNXb9Ky851YJZTGSYVQ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56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x14ac:dyDescent="0.25">
      <c r="A9" s="1"/>
      <c r="B9" s="39" t="s">
        <v>35</v>
      </c>
      <c r="C9" s="39"/>
      <c r="D9" s="39"/>
      <c r="E9" s="7">
        <f>'Fane 3. Omkostninger i ØR2019'!E15</f>
        <v>7685683.6772923656</v>
      </c>
      <c r="F9" s="39" t="s">
        <v>3</v>
      </c>
      <c r="G9" s="1"/>
    </row>
    <row r="10" spans="1:7" x14ac:dyDescent="0.25">
      <c r="A10" s="1"/>
      <c r="B10" s="41" t="s">
        <v>140</v>
      </c>
      <c r="C10" s="39"/>
      <c r="D10" s="39"/>
      <c r="E10" s="7">
        <f>'Fane 3. Omkostninger i ØR2019'!E10*(1-'Fane 12. Nøgletal'!C17)*(1+'Fane 12. Nøgletal'!C10)</f>
        <v>0</v>
      </c>
      <c r="F10" s="39" t="s">
        <v>3</v>
      </c>
      <c r="G10" s="1"/>
    </row>
    <row r="11" spans="1:7" x14ac:dyDescent="0.25">
      <c r="A11" s="1"/>
      <c r="B11" s="41" t="s">
        <v>143</v>
      </c>
      <c r="C11" s="39"/>
      <c r="D11" s="39"/>
      <c r="E11" s="7">
        <f>('Fane 3. Omkostninger i ØR2019'!E11+'Fane 3. Omkostninger i ØR2019'!E12)*(1-'Fane 12. Nøgletal'!C17)*(1+'Fane 12. Nøgletal'!C11)</f>
        <v>0</v>
      </c>
      <c r="F11" s="39" t="s">
        <v>3</v>
      </c>
      <c r="G11" s="1"/>
    </row>
    <row r="12" spans="1:7" ht="17.100000000000001" customHeight="1" x14ac:dyDescent="0.25">
      <c r="A12" s="1"/>
      <c r="B12" s="31" t="s">
        <v>141</v>
      </c>
      <c r="C12" s="39"/>
      <c r="D12" s="39"/>
      <c r="E12" s="7">
        <f>'Fane 8.1. Varige tillæg'!C12+'Fane 8.1. Varige tillæg'!E12</f>
        <v>176322.09931776</v>
      </c>
      <c r="F12" s="39" t="s">
        <v>3</v>
      </c>
      <c r="G12" s="1"/>
    </row>
    <row r="13" spans="1:7" ht="17.100000000000001" customHeight="1" x14ac:dyDescent="0.25">
      <c r="A13" s="1"/>
      <c r="B13" s="31" t="s">
        <v>144</v>
      </c>
      <c r="C13" s="39"/>
      <c r="D13" s="39"/>
      <c r="E13" s="8">
        <f>-('Fane 10. Bortfald'!C12+'Fane 10. Bortfald'!E12)</f>
        <v>0</v>
      </c>
      <c r="F13" s="39" t="s">
        <v>3</v>
      </c>
      <c r="G13" s="1"/>
    </row>
    <row r="14" spans="1:7" ht="17.100000000000001" customHeight="1" x14ac:dyDescent="0.25">
      <c r="A14" s="1"/>
      <c r="B14" s="31" t="s">
        <v>111</v>
      </c>
      <c r="C14" s="39"/>
      <c r="D14" s="39"/>
      <c r="E14" s="8">
        <f>'Fane 9. Tilknyttet aktivitet'!C12+'Fane 9. Tilknyttet aktivitet'!E12</f>
        <v>0</v>
      </c>
      <c r="F14" s="39" t="s">
        <v>3</v>
      </c>
      <c r="G14" s="1"/>
    </row>
    <row r="15" spans="1:7" ht="17.100000000000001" customHeight="1" x14ac:dyDescent="0.25">
      <c r="A15" s="1"/>
      <c r="B15" s="31" t="s">
        <v>26</v>
      </c>
      <c r="C15" s="39"/>
      <c r="D15" s="39"/>
      <c r="E15" s="8">
        <f>(E9-SUM(E10:E11))*'Fane 12. Nøgletal'!C9+E10*'Fane 12. Nøgletal'!C10+E11*'Fane 12. Nøgletal'!C11+SUM(E12:E14)*'Fane 12. Nøgletal'!C12</f>
        <v>101081.72805817291</v>
      </c>
      <c r="F15" s="39" t="s">
        <v>3</v>
      </c>
      <c r="G15" s="1"/>
    </row>
    <row r="16" spans="1:7" ht="17.100000000000001" customHeight="1" x14ac:dyDescent="0.25">
      <c r="A16" s="1"/>
      <c r="B16" s="31" t="s">
        <v>115</v>
      </c>
      <c r="C16" s="39"/>
      <c r="D16" s="39"/>
      <c r="E16" s="8">
        <f>-SUM(E9,E12:E15)*'Fane 12. Nøgletal'!C17</f>
        <v>-135372.4875793611</v>
      </c>
      <c r="F16" s="39" t="s">
        <v>3</v>
      </c>
      <c r="G16" s="1"/>
    </row>
    <row r="17" spans="1:7" ht="17.100000000000001" customHeight="1" x14ac:dyDescent="0.25">
      <c r="A17" s="1"/>
      <c r="B17" s="44" t="s">
        <v>28</v>
      </c>
      <c r="C17" s="42"/>
      <c r="D17" s="42"/>
      <c r="E17" s="9">
        <f>SUM(E9,E12:E16)</f>
        <v>7827715.0170889376</v>
      </c>
      <c r="F17" s="37" t="s">
        <v>3</v>
      </c>
      <c r="G17" s="1"/>
    </row>
    <row r="18" spans="1:7" ht="15" customHeight="1" x14ac:dyDescent="0.25">
      <c r="A18" s="1"/>
      <c r="B18" s="43" t="s">
        <v>16</v>
      </c>
      <c r="C18" s="43"/>
      <c r="D18" s="43"/>
      <c r="E18" s="43"/>
      <c r="F18" s="43"/>
      <c r="G18" s="1"/>
    </row>
    <row r="19" spans="1:7" ht="15" customHeight="1" x14ac:dyDescent="0.25">
      <c r="A19" s="1"/>
      <c r="B19" s="37" t="s">
        <v>16</v>
      </c>
      <c r="C19" s="37"/>
      <c r="D19" s="37"/>
      <c r="E19" s="9">
        <f>'Fane 4. Ikke-påvirkelige omk.'!C15</f>
        <v>5951862.4436379904</v>
      </c>
      <c r="F19" s="37" t="s">
        <v>3</v>
      </c>
      <c r="G19" s="1"/>
    </row>
    <row r="20" spans="1:7" ht="15" customHeight="1" x14ac:dyDescent="0.25">
      <c r="A20" s="1"/>
      <c r="B20" s="43" t="s">
        <v>84</v>
      </c>
      <c r="C20" s="43"/>
      <c r="D20" s="43"/>
      <c r="E20" s="43"/>
      <c r="F20" s="43"/>
      <c r="G20" s="1"/>
    </row>
    <row r="21" spans="1:7" ht="15" customHeight="1" x14ac:dyDescent="0.25">
      <c r="A21" s="1"/>
      <c r="B21" s="31" t="s">
        <v>80</v>
      </c>
      <c r="C21" s="39"/>
      <c r="D21" s="39"/>
      <c r="E21" s="8">
        <f>'Fane 8.2. Engangstillæg'!C13</f>
        <v>0</v>
      </c>
      <c r="F21" s="39" t="s">
        <v>3</v>
      </c>
      <c r="G21" s="1"/>
    </row>
    <row r="22" spans="1:7" ht="15" customHeight="1" x14ac:dyDescent="0.25">
      <c r="A22" s="1"/>
      <c r="B22" s="31" t="s">
        <v>81</v>
      </c>
      <c r="C22" s="39"/>
      <c r="D22" s="39"/>
      <c r="E22" s="8">
        <f>'Fane 8.2. Engangstillæg'!E13</f>
        <v>0</v>
      </c>
      <c r="F22" s="39" t="s">
        <v>3</v>
      </c>
      <c r="G22" s="1"/>
    </row>
    <row r="23" spans="1:7" x14ac:dyDescent="0.25">
      <c r="A23" s="1"/>
      <c r="B23" s="44" t="s">
        <v>85</v>
      </c>
      <c r="C23" s="42"/>
      <c r="D23" s="42"/>
      <c r="E23" s="9">
        <f>SUM(E21:E22)</f>
        <v>0</v>
      </c>
      <c r="F23" s="37" t="s">
        <v>3</v>
      </c>
      <c r="G23" s="1"/>
    </row>
    <row r="24" spans="1:7" x14ac:dyDescent="0.25">
      <c r="A24" s="1"/>
      <c r="B24" s="43" t="s">
        <v>10</v>
      </c>
      <c r="C24" s="43"/>
      <c r="D24" s="43"/>
      <c r="E24" s="43"/>
      <c r="F24" s="43"/>
      <c r="G24" s="1"/>
    </row>
    <row r="25" spans="1:7" ht="15" customHeight="1" x14ac:dyDescent="0.25">
      <c r="A25" s="1"/>
      <c r="B25" s="37" t="s">
        <v>18</v>
      </c>
      <c r="C25" s="37"/>
      <c r="D25" s="37"/>
      <c r="E25" s="9">
        <f>'Fane 11. Hist. over-underdæk.'!G14</f>
        <v>-528107.24338624347</v>
      </c>
      <c r="F25" s="37" t="s">
        <v>3</v>
      </c>
      <c r="G25" s="1"/>
    </row>
    <row r="26" spans="1:7" ht="15" customHeight="1" x14ac:dyDescent="0.25">
      <c r="A26" s="1"/>
      <c r="B26" s="43" t="s">
        <v>152</v>
      </c>
      <c r="C26" s="43"/>
      <c r="D26" s="43"/>
      <c r="E26" s="43"/>
      <c r="F26" s="43"/>
      <c r="G26" s="1"/>
    </row>
    <row r="27" spans="1:7" x14ac:dyDescent="0.25">
      <c r="A27" s="1"/>
      <c r="B27" s="37" t="s">
        <v>153</v>
      </c>
      <c r="C27" s="37"/>
      <c r="D27" s="37"/>
      <c r="E27" s="9">
        <f>'Fane 6. Korrektioner'!E10</f>
        <v>0</v>
      </c>
      <c r="F27" s="37" t="s">
        <v>3</v>
      </c>
      <c r="G27" s="1"/>
    </row>
    <row r="28" spans="1:7" x14ac:dyDescent="0.25">
      <c r="A28" s="1"/>
      <c r="B28" s="43" t="s">
        <v>36</v>
      </c>
      <c r="C28" s="43"/>
      <c r="D28" s="43"/>
      <c r="E28" s="10">
        <f>SUM(E17,E19,E23,E25,E27)</f>
        <v>13251470.217340685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fIAY+LeM7Uxe7zqaCw//OhbnJGw0lnAj38F276HGN3ogoaozvH8S7APRfNiM0gOscGxVN5wq78ZR27A/QPx/Uw==" saltValue="cB/HO30u5FDEpHArZuLPq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73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ht="15" customHeight="1" x14ac:dyDescent="0.25">
      <c r="A9" s="1"/>
      <c r="B9" s="39" t="s">
        <v>37</v>
      </c>
      <c r="C9" s="39"/>
      <c r="D9" s="39"/>
      <c r="E9" s="7">
        <f>'Fane 2.1. Økonomisk ramme 2020'!E17</f>
        <v>7827715.0170889376</v>
      </c>
      <c r="F9" s="39" t="s">
        <v>3</v>
      </c>
      <c r="G9" s="1"/>
    </row>
    <row r="10" spans="1:7" ht="15" customHeight="1" x14ac:dyDescent="0.25">
      <c r="A10" s="1"/>
      <c r="B10" s="39" t="s">
        <v>167</v>
      </c>
      <c r="C10" s="39"/>
      <c r="D10" s="39"/>
      <c r="E10" s="7">
        <v>-133895.68938177737</v>
      </c>
      <c r="F10" s="39" t="s">
        <v>3</v>
      </c>
      <c r="G10" s="1"/>
    </row>
    <row r="11" spans="1:7" ht="15" customHeight="1" x14ac:dyDescent="0.25">
      <c r="A11" s="1"/>
      <c r="B11" s="31" t="s">
        <v>144</v>
      </c>
      <c r="C11" s="39"/>
      <c r="D11" s="39"/>
      <c r="E11" s="7">
        <f>-('Fane 10. Bortfald'!C18+'Fane 10. Bortfald'!E18)</f>
        <v>0</v>
      </c>
      <c r="F11" s="39" t="s">
        <v>3</v>
      </c>
      <c r="G11" s="1"/>
    </row>
    <row r="12" spans="1:7" ht="15" customHeight="1" x14ac:dyDescent="0.25">
      <c r="A12" s="1"/>
      <c r="B12" s="40" t="s">
        <v>26</v>
      </c>
      <c r="C12" s="39"/>
      <c r="D12" s="39"/>
      <c r="E12" s="8">
        <f>SUM(E9:E11)*'Fane 12. Nøgletal'!C12</f>
        <v>151568.24075583104</v>
      </c>
      <c r="F12" s="39" t="s">
        <v>3</v>
      </c>
      <c r="G12" s="1"/>
    </row>
    <row r="13" spans="1:7" ht="15" customHeight="1" x14ac:dyDescent="0.25">
      <c r="A13" s="1"/>
      <c r="B13" s="40" t="s">
        <v>115</v>
      </c>
      <c r="C13" s="39"/>
      <c r="D13" s="39"/>
      <c r="E13" s="8">
        <f>-SUM(E9:E12)*'Fane 12. Nøgletal'!C17</f>
        <v>-133371.58866387085</v>
      </c>
      <c r="F13" s="39" t="s">
        <v>3</v>
      </c>
      <c r="G13" s="1"/>
    </row>
    <row r="14" spans="1:7" ht="15" customHeight="1" x14ac:dyDescent="0.25">
      <c r="A14" s="1"/>
      <c r="B14" s="42" t="s">
        <v>28</v>
      </c>
      <c r="C14" s="42"/>
      <c r="D14" s="42"/>
      <c r="E14" s="9">
        <f>SUM(E9:E13)</f>
        <v>7712015.9797991207</v>
      </c>
      <c r="F14" s="37" t="s">
        <v>3</v>
      </c>
      <c r="G14" s="1"/>
    </row>
    <row r="15" spans="1:7" x14ac:dyDescent="0.25">
      <c r="A15" s="1"/>
      <c r="B15" s="43" t="s">
        <v>16</v>
      </c>
      <c r="C15" s="43"/>
      <c r="D15" s="43"/>
      <c r="E15" s="43"/>
      <c r="F15" s="43"/>
      <c r="G15" s="1"/>
    </row>
    <row r="16" spans="1:7" ht="15" customHeight="1" x14ac:dyDescent="0.25">
      <c r="A16" s="1"/>
      <c r="B16" s="37" t="s">
        <v>16</v>
      </c>
      <c r="C16" s="37"/>
      <c r="D16" s="37"/>
      <c r="E16" s="9">
        <f>'Fane 4. Ikke-påvirkelige omk.'!C15*(1+'Fane 12. Nøgletal'!C12)</f>
        <v>6069114.1337776594</v>
      </c>
      <c r="F16" s="37" t="s">
        <v>3</v>
      </c>
      <c r="G16" s="1"/>
    </row>
    <row r="17" spans="1:7" ht="15" customHeight="1" x14ac:dyDescent="0.25">
      <c r="A17" s="1"/>
      <c r="B17" s="43" t="s">
        <v>84</v>
      </c>
      <c r="C17" s="43"/>
      <c r="D17" s="43"/>
      <c r="E17" s="43"/>
      <c r="F17" s="43"/>
      <c r="G17" s="1"/>
    </row>
    <row r="18" spans="1:7" ht="15" customHeight="1" x14ac:dyDescent="0.25">
      <c r="A18" s="1"/>
      <c r="B18" s="31" t="s">
        <v>80</v>
      </c>
      <c r="C18" s="39"/>
      <c r="D18" s="39"/>
      <c r="E18" s="8">
        <f>'Fane 8.2. Engangstillæg'!C20</f>
        <v>0</v>
      </c>
      <c r="F18" s="39" t="s">
        <v>3</v>
      </c>
      <c r="G18" s="1"/>
    </row>
    <row r="19" spans="1:7" ht="15" customHeight="1" x14ac:dyDescent="0.25">
      <c r="A19" s="1"/>
      <c r="B19" s="31" t="s">
        <v>81</v>
      </c>
      <c r="C19" s="39"/>
      <c r="D19" s="39"/>
      <c r="E19" s="8">
        <f>'Fane 8.2. Engangstillæg'!E20</f>
        <v>0</v>
      </c>
      <c r="F19" s="39" t="s">
        <v>3</v>
      </c>
      <c r="G19" s="1"/>
    </row>
    <row r="20" spans="1:7" ht="15" customHeight="1" x14ac:dyDescent="0.25">
      <c r="A20" s="1"/>
      <c r="B20" s="44" t="s">
        <v>85</v>
      </c>
      <c r="C20" s="42"/>
      <c r="D20" s="42"/>
      <c r="E20" s="9">
        <f>SUM(E18:E19)</f>
        <v>0</v>
      </c>
      <c r="F20" s="37" t="s">
        <v>3</v>
      </c>
      <c r="G20" s="1"/>
    </row>
    <row r="21" spans="1:7" x14ac:dyDescent="0.25">
      <c r="A21" s="1"/>
      <c r="B21" s="43" t="s">
        <v>95</v>
      </c>
      <c r="C21" s="43"/>
      <c r="D21" s="43"/>
      <c r="E21" s="43"/>
      <c r="F21" s="43"/>
      <c r="G21" s="1"/>
    </row>
    <row r="22" spans="1:7" ht="15" customHeight="1" x14ac:dyDescent="0.25">
      <c r="A22" s="1"/>
      <c r="B22" s="37" t="s">
        <v>131</v>
      </c>
      <c r="C22" s="37"/>
      <c r="D22" s="37"/>
      <c r="E22" s="9">
        <f>'Fane 5. Kontrol af ØR2018'!E35</f>
        <v>68804.014303636272</v>
      </c>
      <c r="F22" s="37" t="s">
        <v>3</v>
      </c>
      <c r="G22" s="1"/>
    </row>
    <row r="23" spans="1:7" x14ac:dyDescent="0.25">
      <c r="A23" s="1"/>
      <c r="B23" s="43" t="s">
        <v>39</v>
      </c>
      <c r="C23" s="43"/>
      <c r="D23" s="43"/>
      <c r="E23" s="10">
        <f>SUM(E14,E16,E20,E22)</f>
        <v>13849934.127880417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sLKr1VrtSm67N0H2rt3QP3q48QwCwq8ySOibfENTKEkULaLthY7W6jy1N9X+k6R0wDg+6FrvpzSqytuFIGtegw==" saltValue="5LAj3cVamwFKjdgSzGnMJ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37</v>
      </c>
      <c r="C8" s="39"/>
      <c r="D8" s="39"/>
      <c r="E8" s="7">
        <f>'Fane 2.2. Økonomisk ramme 2021'!E14</f>
        <v>7712015.9797991207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Bortfald'!C24+'Fane 10.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SUM(E8:E9)*'Fane 12. Nøgletal'!C12</f>
        <v>151926.71480204267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-133687.0258082198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7730255.6687929435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omk.'!C15*(1+'Fane 12. Nøgletal'!C12)^2</f>
        <v>6188675.6822130792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Engangstillæg'!C27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Engangstillæg'!E27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2.2. Økonomisk ramme 2021'!E22</f>
        <v>68804.014303636272</v>
      </c>
      <c r="F20" s="37" t="s">
        <v>3</v>
      </c>
      <c r="G20" s="1"/>
    </row>
    <row r="21" spans="1:7" x14ac:dyDescent="0.25">
      <c r="A21" s="1"/>
      <c r="B21" s="43" t="s">
        <v>40</v>
      </c>
      <c r="C21" s="43"/>
      <c r="D21" s="43"/>
      <c r="E21" s="10">
        <f>SUM(E12,E14,E18,E20)</f>
        <v>13987735.365309659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d85o+n7J8WazD4aT7fY+QhNnj93z+Icb/IHhvUh6MU/RA7+JcIwkw8g4e3yp4tjT4AJ13a4kggObQcCDA/ozTA==" saltValue="BgwisE0hcpw+UgtnnSTKq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145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38</v>
      </c>
      <c r="C8" s="39"/>
      <c r="D8" s="39"/>
      <c r="E8" s="7">
        <f>'Fane 2.3. Økonomisk ramme 2022'!E12</f>
        <v>7730255.6687929435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Bortfald'!C30+'Fane 10.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E8*'Fane 12. Nøgletal'!C12</f>
        <v>152286.03667522097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-134003.2089929588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7748538.4964752058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omk.'!C15*(1+'Fane 12. Nøgletal'!C12)^3</f>
        <v>6310592.5931526767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Engangstillæg'!C34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Engangstillæg'!E34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2.3. Økonomisk ramme 2022'!E20</f>
        <v>68804.014303636272</v>
      </c>
      <c r="F20" s="37" t="s">
        <v>3</v>
      </c>
      <c r="G20" s="1"/>
    </row>
    <row r="21" spans="1:7" x14ac:dyDescent="0.25">
      <c r="A21" s="1"/>
      <c r="B21" s="43" t="s">
        <v>89</v>
      </c>
      <c r="C21" s="43"/>
      <c r="D21" s="43"/>
      <c r="E21" s="10">
        <f>SUM(E12,E14,E18,E20)</f>
        <v>14127935.103931518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g8eE13WBC254GydfBINA5Prz82VxCBd9QwewG2eWbgPbKzNOWEBuGbuu8p6SiMKo+Ffc8zR9HErElx4hagWbFw==" saltValue="4oAhhKgVHdcK2U8TwGX35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138</v>
      </c>
      <c r="C3" s="72"/>
      <c r="D3" s="72"/>
      <c r="E3" s="72"/>
      <c r="F3" s="72"/>
      <c r="G3" s="1"/>
    </row>
    <row r="4" spans="1:7" ht="29.2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72</v>
      </c>
      <c r="C8" s="43"/>
      <c r="D8" s="43"/>
      <c r="E8" s="43"/>
      <c r="F8" s="43"/>
      <c r="G8" s="1"/>
    </row>
    <row r="9" spans="1:7" x14ac:dyDescent="0.25">
      <c r="A9" s="1"/>
      <c r="B9" s="73" t="s">
        <v>70</v>
      </c>
      <c r="C9" s="73"/>
      <c r="D9" s="73"/>
      <c r="E9" s="7">
        <v>7720548.9040883379</v>
      </c>
      <c r="F9" s="39" t="s">
        <v>3</v>
      </c>
      <c r="G9" s="1"/>
    </row>
    <row r="10" spans="1:7" x14ac:dyDescent="0.25">
      <c r="A10" s="1"/>
      <c r="B10" s="75" t="s">
        <v>140</v>
      </c>
      <c r="C10" s="75"/>
      <c r="D10" s="75"/>
      <c r="E10" s="7">
        <v>0</v>
      </c>
      <c r="F10" s="39" t="s">
        <v>3</v>
      </c>
      <c r="G10" s="1"/>
    </row>
    <row r="11" spans="1:7" x14ac:dyDescent="0.25">
      <c r="A11" s="1"/>
      <c r="B11" s="74" t="s">
        <v>141</v>
      </c>
      <c r="C11" s="74"/>
      <c r="D11" s="74"/>
      <c r="E11" s="7">
        <v>0</v>
      </c>
      <c r="F11" s="39" t="s">
        <v>3</v>
      </c>
      <c r="G11" s="1"/>
    </row>
    <row r="12" spans="1:7" x14ac:dyDescent="0.25">
      <c r="A12" s="1"/>
      <c r="B12" s="74" t="s">
        <v>142</v>
      </c>
      <c r="C12" s="74"/>
      <c r="D12" s="74"/>
      <c r="E12" s="8">
        <v>0</v>
      </c>
      <c r="F12" s="39" t="s">
        <v>3</v>
      </c>
      <c r="G12" s="1"/>
    </row>
    <row r="13" spans="1:7" x14ac:dyDescent="0.25">
      <c r="A13" s="1"/>
      <c r="B13" s="74" t="s">
        <v>26</v>
      </c>
      <c r="C13" s="74"/>
      <c r="D13" s="74"/>
      <c r="E13" s="8">
        <f>(SUM(E9:E9)-SUM(E10:E10))*'Fane 12. Nøgletal'!C9+SUM(E10:E10)*'Fane 12. Nøgletal'!C10+SUM(E11:E12)*'Fane 12. Nøgletal'!C11</f>
        <v>98050.971081921889</v>
      </c>
      <c r="F13" s="39" t="s">
        <v>3</v>
      </c>
      <c r="G13" s="1"/>
    </row>
    <row r="14" spans="1:7" x14ac:dyDescent="0.25">
      <c r="A14" s="1"/>
      <c r="B14" s="74" t="s">
        <v>115</v>
      </c>
      <c r="C14" s="74"/>
      <c r="D14" s="74"/>
      <c r="E14" s="8">
        <f>-SUM(E9:E9,E11:E13)*'Fane 12. Nøgletal'!C17</f>
        <v>-132916.19787789442</v>
      </c>
      <c r="F14" s="39" t="s">
        <v>3</v>
      </c>
      <c r="G14" s="1"/>
    </row>
    <row r="15" spans="1:7" x14ac:dyDescent="0.25">
      <c r="A15" s="1"/>
      <c r="B15" s="76" t="s">
        <v>28</v>
      </c>
      <c r="C15" s="76"/>
      <c r="D15" s="76"/>
      <c r="E15" s="9">
        <f>SUM(E9,E11:E14)</f>
        <v>7685683.6772923656</v>
      </c>
      <c r="F15" s="37" t="s">
        <v>3</v>
      </c>
      <c r="G15" s="1"/>
    </row>
    <row r="16" spans="1:7" x14ac:dyDescent="0.25">
      <c r="A16" s="1"/>
      <c r="B16" s="77" t="s">
        <v>16</v>
      </c>
      <c r="C16" s="77"/>
      <c r="D16" s="77"/>
      <c r="E16" s="43"/>
      <c r="F16" s="43"/>
      <c r="G16" s="1"/>
    </row>
    <row r="17" spans="1:7" x14ac:dyDescent="0.25">
      <c r="A17" s="1"/>
      <c r="B17" s="71" t="s">
        <v>16</v>
      </c>
      <c r="C17" s="71"/>
      <c r="D17" s="71"/>
      <c r="E17" s="9">
        <v>3730261.1572954389</v>
      </c>
      <c r="F17" s="37" t="s">
        <v>3</v>
      </c>
      <c r="G17" s="1"/>
    </row>
    <row r="18" spans="1:7" x14ac:dyDescent="0.25">
      <c r="A18" s="1"/>
      <c r="B18" s="43" t="s">
        <v>71</v>
      </c>
      <c r="C18" s="43"/>
      <c r="D18" s="43"/>
      <c r="E18" s="43"/>
      <c r="F18" s="43"/>
      <c r="G18" s="1"/>
    </row>
    <row r="19" spans="1:7" ht="27" customHeight="1" x14ac:dyDescent="0.25">
      <c r="A19" s="1"/>
      <c r="B19" s="70" t="s">
        <v>74</v>
      </c>
      <c r="C19" s="70"/>
      <c r="D19" s="70"/>
      <c r="E19" s="9">
        <v>20024.305369274127</v>
      </c>
      <c r="F19" s="37" t="s">
        <v>3</v>
      </c>
      <c r="G19" s="1"/>
    </row>
    <row r="20" spans="1:7" x14ac:dyDescent="0.25">
      <c r="A20" s="1"/>
      <c r="B20" s="43" t="s">
        <v>10</v>
      </c>
      <c r="C20" s="43"/>
      <c r="D20" s="43"/>
      <c r="E20" s="43"/>
      <c r="F20" s="43"/>
      <c r="G20" s="1"/>
    </row>
    <row r="21" spans="1:7" x14ac:dyDescent="0.25">
      <c r="A21" s="1"/>
      <c r="B21" s="71" t="s">
        <v>18</v>
      </c>
      <c r="C21" s="71"/>
      <c r="D21" s="71"/>
      <c r="E21" s="9">
        <v>-528107</v>
      </c>
      <c r="F21" s="37" t="s">
        <v>3</v>
      </c>
      <c r="G21" s="1"/>
    </row>
    <row r="22" spans="1:7" x14ac:dyDescent="0.25">
      <c r="A22" s="1"/>
      <c r="B22" s="43" t="s">
        <v>23</v>
      </c>
      <c r="C22" s="43"/>
      <c r="D22" s="43"/>
      <c r="E22" s="10">
        <f>SUM(E21,E19,E17,E15)</f>
        <v>10907862.139957078</v>
      </c>
      <c r="F22" s="11" t="s">
        <v>3</v>
      </c>
      <c r="G22" s="1"/>
    </row>
    <row r="23" spans="1:7" ht="28.5" customHeight="1" x14ac:dyDescent="0.25">
      <c r="A23" s="1"/>
      <c r="B23" s="69" t="s">
        <v>118</v>
      </c>
      <c r="C23" s="69"/>
      <c r="D23" s="69"/>
      <c r="E23" s="69"/>
      <c r="F23" s="69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F/reBZOqwa6o2B2v0NRhq/8aa17NQkYFc0Lb6kPOW9509aZ16bCG7XlNyU5sESEuxbCakwBsF/hTKMma4zzaqw==" saltValue="1eDszJmA9OOAeere2hMUy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7" t="s">
        <v>110</v>
      </c>
      <c r="C3" s="67"/>
      <c r="D3" s="67"/>
      <c r="E3" s="1"/>
      <c r="F3" s="1"/>
    </row>
    <row r="4" spans="1:6" ht="15" customHeight="1" x14ac:dyDescent="0.25">
      <c r="A4" s="1"/>
      <c r="B4" s="67"/>
      <c r="C4" s="67"/>
      <c r="D4" s="6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8" t="s">
        <v>58</v>
      </c>
      <c r="C8" s="79"/>
      <c r="D8" s="80"/>
      <c r="E8" s="1"/>
      <c r="F8" s="1"/>
    </row>
    <row r="9" spans="1:6" ht="15" customHeight="1" x14ac:dyDescent="0.25">
      <c r="A9" s="1"/>
      <c r="B9" s="19" t="s">
        <v>43</v>
      </c>
      <c r="C9" s="37" t="s">
        <v>59</v>
      </c>
      <c r="D9" s="37"/>
      <c r="E9" s="1"/>
      <c r="F9" s="1"/>
    </row>
    <row r="10" spans="1:6" x14ac:dyDescent="0.25">
      <c r="A10" s="1"/>
      <c r="B10" s="30" t="s">
        <v>147</v>
      </c>
      <c r="C10" s="8">
        <v>3681675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7472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2017114</v>
      </c>
      <c r="D12" s="12" t="s">
        <v>3</v>
      </c>
      <c r="E12" s="1"/>
      <c r="F12" s="1"/>
    </row>
    <row r="13" spans="1:6" x14ac:dyDescent="0.25">
      <c r="A13" s="1"/>
      <c r="B13" s="30" t="s">
        <v>150</v>
      </c>
      <c r="C13" s="8">
        <v>17850</v>
      </c>
      <c r="D13" s="12" t="s">
        <v>3</v>
      </c>
      <c r="E13" s="1"/>
      <c r="F13" s="1"/>
    </row>
    <row r="14" spans="1:6" x14ac:dyDescent="0.25">
      <c r="A14" s="1"/>
      <c r="B14" s="47" t="s">
        <v>60</v>
      </c>
      <c r="C14" s="10">
        <f>SUM(C10:C13)</f>
        <v>5724111</v>
      </c>
      <c r="D14" s="11" t="s">
        <v>3</v>
      </c>
      <c r="E14" s="1"/>
      <c r="F14" s="1"/>
    </row>
    <row r="15" spans="1:6" x14ac:dyDescent="0.25">
      <c r="A15" s="1"/>
      <c r="B15" s="47" t="s">
        <v>61</v>
      </c>
      <c r="C15" s="10">
        <f>C14*(1+'Fane 12. Nøgletal'!C12)^2</f>
        <v>5951862.4436379904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ULoPQs8Y6xD9p8hwWn9/OuxWdp/VhDE0yBhnaCZDd9Fng1QDZdJsR7fnWqaCriLxaiRAVAsqBvNRh1DONeT/PA==" saltValue="o1fkgKLl4qJSj+zADjwfB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119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1" t="s">
        <v>47</v>
      </c>
      <c r="C6" s="81"/>
      <c r="D6" s="81"/>
      <c r="E6" s="81"/>
      <c r="F6" s="81"/>
      <c r="G6" s="1"/>
    </row>
    <row r="7" spans="1:7" ht="15" customHeight="1" x14ac:dyDescent="0.25">
      <c r="A7" s="1"/>
      <c r="B7" s="82" t="s">
        <v>45</v>
      </c>
      <c r="C7" s="82"/>
      <c r="D7" s="82"/>
      <c r="E7" s="8">
        <v>-833732.38666666672</v>
      </c>
      <c r="F7" s="12" t="s">
        <v>3</v>
      </c>
      <c r="G7" s="1"/>
    </row>
    <row r="8" spans="1:7" ht="15" customHeight="1" x14ac:dyDescent="0.25">
      <c r="A8" s="1"/>
      <c r="B8" s="82" t="s">
        <v>46</v>
      </c>
      <c r="C8" s="82"/>
      <c r="D8" s="82"/>
      <c r="E8" s="8">
        <v>1108948.4438812118</v>
      </c>
      <c r="F8" s="12" t="s">
        <v>3</v>
      </c>
      <c r="G8" s="1"/>
    </row>
    <row r="9" spans="1:7" ht="15" customHeight="1" x14ac:dyDescent="0.25">
      <c r="A9" s="1"/>
      <c r="B9" s="84" t="s">
        <v>129</v>
      </c>
      <c r="C9" s="85"/>
      <c r="D9" s="86"/>
      <c r="E9" s="9">
        <f>SUM(E7:E8)</f>
        <v>275216.05721454509</v>
      </c>
      <c r="F9" s="15" t="s">
        <v>3</v>
      </c>
      <c r="G9" s="1"/>
    </row>
    <row r="10" spans="1:7" ht="15" customHeight="1" x14ac:dyDescent="0.25">
      <c r="A10" s="1"/>
      <c r="B10" s="78"/>
      <c r="C10" s="79"/>
      <c r="D10" s="79"/>
      <c r="E10" s="79"/>
      <c r="F10" s="80"/>
      <c r="G10" s="1"/>
    </row>
    <row r="11" spans="1:7" ht="27" customHeight="1" x14ac:dyDescent="0.25">
      <c r="A11" s="1"/>
      <c r="B11" s="69" t="s">
        <v>113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99</v>
      </c>
      <c r="C14" s="81"/>
      <c r="D14" s="81"/>
      <c r="E14" s="81"/>
      <c r="F14" s="81"/>
      <c r="G14" s="1"/>
    </row>
    <row r="15" spans="1:7" x14ac:dyDescent="0.25">
      <c r="A15" s="1"/>
      <c r="B15" s="82" t="s">
        <v>100</v>
      </c>
      <c r="C15" s="82"/>
      <c r="D15" s="82"/>
      <c r="E15" s="8">
        <v>11900521.405999999</v>
      </c>
      <c r="F15" s="12" t="s">
        <v>3</v>
      </c>
      <c r="G15" s="1"/>
    </row>
    <row r="16" spans="1:7" x14ac:dyDescent="0.25">
      <c r="A16" s="1"/>
      <c r="B16" s="82" t="s">
        <v>101</v>
      </c>
      <c r="C16" s="82"/>
      <c r="D16" s="82"/>
      <c r="E16" s="8">
        <v>10153286</v>
      </c>
      <c r="F16" s="12" t="s">
        <v>3</v>
      </c>
      <c r="G16" s="1"/>
    </row>
    <row r="17" spans="1:7" x14ac:dyDescent="0.25">
      <c r="A17" s="1"/>
      <c r="B17" s="82" t="s">
        <v>44</v>
      </c>
      <c r="C17" s="82"/>
      <c r="D17" s="82"/>
      <c r="E17" s="8">
        <v>0</v>
      </c>
      <c r="F17" s="12" t="s">
        <v>3</v>
      </c>
      <c r="G17" s="1"/>
    </row>
    <row r="18" spans="1:7" x14ac:dyDescent="0.25">
      <c r="A18" s="1"/>
      <c r="B18" s="83" t="s">
        <v>130</v>
      </c>
      <c r="C18" s="83"/>
      <c r="D18" s="83"/>
      <c r="E18" s="9">
        <f>E15-(E16-E17)</f>
        <v>1747235.4059999995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112</v>
      </c>
      <c r="C20" s="69"/>
      <c r="D20" s="69"/>
      <c r="E20" s="69"/>
      <c r="F20" s="6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1" t="s">
        <v>66</v>
      </c>
      <c r="C23" s="81"/>
      <c r="D23" s="81"/>
      <c r="E23" s="81"/>
      <c r="F23" s="81"/>
      <c r="G23" s="1"/>
    </row>
    <row r="24" spans="1:7" x14ac:dyDescent="0.25">
      <c r="A24" s="1"/>
      <c r="B24" s="82" t="s">
        <v>67</v>
      </c>
      <c r="C24" s="82"/>
      <c r="D24" s="82"/>
      <c r="E24" s="8">
        <v>10916868.910288338</v>
      </c>
      <c r="F24" s="12" t="s">
        <v>3</v>
      </c>
      <c r="G24" s="1"/>
    </row>
    <row r="25" spans="1:7" x14ac:dyDescent="0.25">
      <c r="A25" s="1"/>
      <c r="B25" s="82" t="s">
        <v>68</v>
      </c>
      <c r="C25" s="82"/>
      <c r="D25" s="82"/>
      <c r="E25" s="8">
        <v>10456834</v>
      </c>
      <c r="F25" s="12" t="s">
        <v>3</v>
      </c>
      <c r="G25" s="1"/>
    </row>
    <row r="26" spans="1:7" x14ac:dyDescent="0.25">
      <c r="A26" s="1"/>
      <c r="B26" s="82" t="s">
        <v>44</v>
      </c>
      <c r="C26" s="82"/>
      <c r="D26" s="82"/>
      <c r="E26" s="8">
        <v>0</v>
      </c>
      <c r="F26" s="12" t="s">
        <v>3</v>
      </c>
      <c r="G26" s="1"/>
    </row>
    <row r="27" spans="1:7" x14ac:dyDescent="0.25">
      <c r="A27" s="1"/>
      <c r="B27" s="83" t="s">
        <v>130</v>
      </c>
      <c r="C27" s="83"/>
      <c r="D27" s="83"/>
      <c r="E27" s="9">
        <f>E24-(E25-E26)</f>
        <v>460034.91028833762</v>
      </c>
      <c r="F27" s="15" t="s">
        <v>3</v>
      </c>
      <c r="G27" s="1"/>
    </row>
    <row r="28" spans="1:7" x14ac:dyDescent="0.25">
      <c r="A28" s="1"/>
      <c r="B28" s="78"/>
      <c r="C28" s="79"/>
      <c r="D28" s="79"/>
      <c r="E28" s="79"/>
      <c r="F28" s="8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1" t="s">
        <v>114</v>
      </c>
      <c r="C31" s="81"/>
      <c r="D31" s="81"/>
      <c r="E31" s="81"/>
      <c r="F31" s="81"/>
      <c r="G31" s="1"/>
    </row>
    <row r="32" spans="1:7" x14ac:dyDescent="0.25">
      <c r="A32" s="1"/>
      <c r="B32" s="75" t="s">
        <v>47</v>
      </c>
      <c r="C32" s="75"/>
      <c r="D32" s="75"/>
      <c r="E32" s="8">
        <f>E9</f>
        <v>275216.05721454509</v>
      </c>
      <c r="F32" s="12" t="s">
        <v>3</v>
      </c>
      <c r="G32" s="1"/>
    </row>
    <row r="33" spans="1:7" x14ac:dyDescent="0.25">
      <c r="A33" s="1"/>
      <c r="B33" s="75" t="s">
        <v>128</v>
      </c>
      <c r="C33" s="75"/>
      <c r="D33" s="75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5" t="s">
        <v>122</v>
      </c>
      <c r="C34" s="75"/>
      <c r="D34" s="75"/>
      <c r="E34" s="8">
        <v>4</v>
      </c>
      <c r="F34" s="12" t="s">
        <v>27</v>
      </c>
      <c r="G34" s="1"/>
    </row>
    <row r="35" spans="1:7" x14ac:dyDescent="0.25">
      <c r="A35" s="1"/>
      <c r="B35" s="83" t="s">
        <v>154</v>
      </c>
      <c r="C35" s="83"/>
      <c r="D35" s="83"/>
      <c r="E35" s="9">
        <f>SUM(E32:E33)/E34</f>
        <v>68804.014303636272</v>
      </c>
      <c r="F35" s="15" t="s">
        <v>3</v>
      </c>
      <c r="G35" s="1"/>
    </row>
    <row r="36" spans="1:7" x14ac:dyDescent="0.25">
      <c r="A36" s="1"/>
      <c r="B36" s="81"/>
      <c r="C36" s="81"/>
      <c r="D36" s="81"/>
      <c r="E36" s="81"/>
      <c r="F36" s="8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ojC3zvLYEEMheZQgd/bSkZebGya19/phgn/5VQlwtI+GphLVmmBOAedbFv9e8CfH4+FJa9iKDPCvtyFL4V1K9g==" saltValue="dUzJAyPhfPs5tlfMIcqETA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155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1" t="s">
        <v>94</v>
      </c>
      <c r="C8" s="81"/>
      <c r="D8" s="81"/>
      <c r="E8" s="81"/>
      <c r="F8" s="81"/>
      <c r="G8" s="1"/>
    </row>
    <row r="9" spans="1:7" ht="28.5" customHeight="1" x14ac:dyDescent="0.25">
      <c r="A9" s="1"/>
      <c r="B9" s="70" t="s">
        <v>98</v>
      </c>
      <c r="C9" s="70"/>
      <c r="D9" s="70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7" t="s">
        <v>3</v>
      </c>
      <c r="G9" s="1"/>
    </row>
    <row r="10" spans="1:7" x14ac:dyDescent="0.25">
      <c r="A10" s="1"/>
      <c r="B10" s="43" t="s">
        <v>109</v>
      </c>
      <c r="C10" s="43"/>
      <c r="D10" s="43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A4qSsWxGz6zUR7hAiW0CJSTclVQXaUI4cBqCtAqrhVYlg18LXrY88JOkKJ3ZSo1UUsTQVgIuvz9u3rGFqM7yiA==" saltValue="+A5skEc5Bzkx0/YbiEOYK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2019-09-04T11:20:04Z</dcterms:modified>
</cp:coreProperties>
</file>