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alsnæs Vandforsyning a.m.b.a. (V07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<sst xmlns="http://schemas.openxmlformats.org/spreadsheetml/2006/main" count="422" uniqueCount="163">
  <si>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</si>
  <si>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</si>
  <si>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</si>
  <si>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</si>
  <si>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</si>
  <si>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</si>
  <si>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</si>
  <si>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</si>
  <si>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</si>
  <si>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</si>
  <si>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</si>
  <si>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</si>
  <si>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</si>
  <si>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</si>
  <si>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</si>
  <si>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</si>
  <si>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</si>
  <si>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</si>
  <si>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</si>
  <si>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</si>
  <si>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</si>
  <si>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</si>
  <si>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</si>
  <si>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</si>
  <si>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</si>
  <si>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</si>
  <si>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</si>
  <si>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</si>
  <si>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</si>
  <si>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</si>
  <si>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</si>
  <si>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</si>
  <si>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</si>
  <si>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</si>
  <si>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</si>
  <si>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</si>
  <si>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</si>
  <si>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</si>
  <si>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</si>
  <si>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</si>
  <si>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</si>
  <si>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</si>
  <si>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</si>
  <si>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</si>
  <si>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</si>
  <si>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</si>
  <si>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</si>
  <si>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</si>
  <si>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</si>
  <si>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</si>
  <si>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</si>
  <si>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</si>
  <si>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</si>
  <si>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</si>
  <si>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</si>
  <si>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</si>
  <si>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</si>
  <si>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</si>
  <si>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</si>
  <si>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</si>
  <si>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</si>
  <si>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</si>
  <si>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</si>
  <si>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</si>
  <si>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</si>
  <si>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</si>
  <si>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</si>
  <si>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</si>
  <si>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</si>
  <si>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</si>
  <si>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</si>
  <si>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</si>
  <si>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</si>
  <si>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</si>
  <si>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</si>
  <si>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</si>
  <si>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</si>
  <si>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</si>
  <si>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</si>
  <si>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</si>
  <si>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</si>
  <si>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</si>
  <si>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</si>
  <si>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</si>
  <si>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</si>
  <si>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</si>
  <si>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</si>
  <si>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</si>
  <si>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</si>
  <si>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</si>
  <si>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</si>
  <si>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</si>
  <si>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</si>
  <si>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</si>
  <si>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</si>
  <si>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</si>
  <si>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</si>
  <si>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</si>
  <si>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</si>
  <si>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</si>
  <si>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</si>
  <si>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</si>
  <si>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</si>
  <si>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</si>
  <si>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</si>
  <si>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</si>
  <si>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</si>
  <si>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</si>
  <si>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</si>
  <si>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</si>
  <si>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</si>
  <si>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</si>
  <si>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</si>
  <si>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</si>
  <si>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</si>
  <si>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</si>
  <si>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</si>
  <si>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</si>
  <si>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</si>
  <si>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</si>
  <si>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</si>
  <si>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</si>
  <si>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</si>
  <si>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</si>
  <si>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</si>
  <si>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</si>
  <si>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</si>
  <si>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</si>
  <si>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</si>
  <si>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</si>
  <si>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</si>
  <si>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</si>
  <si>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</si>
  <si>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</si>
  <si>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</si>
  <si>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</si>
  <si>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</si>
  <si>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</si>
  <si>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</si>
  <si>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</si>
  <si>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</si>
  <si>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</si>
  <si>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</si>
  <si>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</si>
  <si>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</si>
  <si>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</si>
  <si>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</si>
  <si>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</si>
  <si>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</si>
  <si>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Køb af produkter og ydelser fra andre vandselskaber reguleret af vandsektorloven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</si>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</sst>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2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25">
      <c r="A8" s="1"/>
      <c r="B8" s="1"/>
      <c r="C8" s="4"/>
      <c r="D8" s="57" t="s">
        <v>116</v>
      </c>
      <c r="E8" s="57"/>
      <c r="F8" s="57"/>
      <c r="G8" s="5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9" t="s">
        <v>49</v>
      </c>
      <c r="E13" s="50"/>
      <c r="F13" s="50"/>
      <c r="G13" s="51"/>
      <c r="H13" s="1"/>
      <c r="I13" s="1"/>
    </row>
    <row r="14" spans="1:9" x14ac:dyDescent="0.25">
      <c r="A14" s="1"/>
      <c r="B14" s="1"/>
      <c r="C14" s="6" t="s">
        <v>22</v>
      </c>
      <c r="D14" s="49" t="s">
        <v>117</v>
      </c>
      <c r="E14" s="50"/>
      <c r="F14" s="50"/>
      <c r="G14" s="51"/>
      <c r="H14" s="1"/>
      <c r="I14" s="1"/>
    </row>
    <row r="15" spans="1:9" x14ac:dyDescent="0.25">
      <c r="A15" s="1"/>
      <c r="B15" s="1"/>
      <c r="C15" s="6" t="s">
        <v>48</v>
      </c>
      <c r="D15" s="49" t="s">
        <v>75</v>
      </c>
      <c r="E15" s="50"/>
      <c r="F15" s="50"/>
      <c r="G15" s="51"/>
      <c r="H15" s="1"/>
      <c r="I15" s="1"/>
    </row>
    <row r="16" spans="1:9" x14ac:dyDescent="0.25">
      <c r="A16" s="1"/>
      <c r="B16" s="1"/>
      <c r="C16" s="6" t="s">
        <v>50</v>
      </c>
      <c r="D16" s="49" t="s">
        <v>76</v>
      </c>
      <c r="E16" s="50"/>
      <c r="F16" s="50"/>
      <c r="G16" s="51"/>
      <c r="H16" s="1"/>
      <c r="I16" s="1"/>
    </row>
    <row r="17" spans="1:9" x14ac:dyDescent="0.25">
      <c r="A17" s="1"/>
      <c r="B17" s="1"/>
      <c r="C17" s="6" t="s">
        <v>139</v>
      </c>
      <c r="D17" s="49" t="s">
        <v>57</v>
      </c>
      <c r="E17" s="50"/>
      <c r="F17" s="50"/>
      <c r="G17" s="51"/>
      <c r="H17" s="1"/>
      <c r="I17" s="1"/>
    </row>
    <row r="18" spans="1:9" x14ac:dyDescent="0.25">
      <c r="A18" s="1"/>
      <c r="B18" s="1"/>
      <c r="C18" s="6" t="s">
        <v>7</v>
      </c>
      <c r="D18" s="61" t="s">
        <v>16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8</v>
      </c>
      <c r="D19" s="53" t="s">
        <v>97</v>
      </c>
      <c r="E19" s="54"/>
      <c r="F19" s="54"/>
      <c r="G19" s="55"/>
      <c r="H19" s="1"/>
      <c r="I19" s="1"/>
    </row>
    <row r="20" spans="1:9" x14ac:dyDescent="0.25">
      <c r="A20" s="1"/>
      <c r="B20" s="1"/>
      <c r="C20" s="6" t="s">
        <v>123</v>
      </c>
      <c r="D20" s="53" t="s">
        <v>151</v>
      </c>
      <c r="E20" s="54"/>
      <c r="F20" s="54"/>
      <c r="G20" s="55"/>
      <c r="H20" s="1"/>
      <c r="I20" s="1"/>
    </row>
    <row r="21" spans="1:9" x14ac:dyDescent="0.25">
      <c r="A21" s="1"/>
      <c r="B21" s="1"/>
      <c r="C21" s="6" t="s">
        <v>82</v>
      </c>
      <c r="D21" s="53" t="s">
        <v>51</v>
      </c>
      <c r="E21" s="54"/>
      <c r="F21" s="54"/>
      <c r="G21" s="55"/>
      <c r="H21" s="1"/>
      <c r="I21" s="1"/>
    </row>
    <row r="22" spans="1:9" x14ac:dyDescent="0.25">
      <c r="A22" s="1"/>
      <c r="B22" s="1"/>
      <c r="C22" s="6" t="s">
        <v>124</v>
      </c>
      <c r="D22" s="53" t="s">
        <v>83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125</v>
      </c>
      <c r="D23" s="53" t="s">
        <v>84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52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96</v>
      </c>
      <c r="D25" s="53" t="s">
        <v>53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126</v>
      </c>
      <c r="D26" s="64" t="s">
        <v>10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</v>
      </c>
      <c r="D27" s="58" t="s">
        <v>127</v>
      </c>
      <c r="E27" s="59"/>
      <c r="F27" s="59"/>
      <c r="G27" s="60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QvF2ZPwN6vZq6a3N8IFvXWygi9J1wD+Zjpv7VXy5p2Qy67lIzicbwYqLmPh7b9NF9C9Zp5MK37F12IOHF2XRsA==" saltValue="8XEiXXQ6C4yeDmadrQmApA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155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156</v>
      </c>
      <c r="C8" s="79"/>
      <c r="D8" s="79"/>
      <c r="E8" s="79"/>
      <c r="F8" s="79"/>
      <c r="G8" s="79"/>
      <c r="H8" s="80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7" t="s">
        <v>2</v>
      </c>
      <c r="F9" s="37" t="s">
        <v>15</v>
      </c>
      <c r="G9" s="37" t="s">
        <v>41</v>
      </c>
      <c r="H9" s="46"/>
      <c r="I9" s="1"/>
    </row>
    <row r="10" spans="1:9" x14ac:dyDescent="0.25">
      <c r="A10" s="1"/>
      <c r="B10" s="35" t="s">
        <v>160</v>
      </c>
      <c r="C10" s="36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8" t="s">
        <v>157</v>
      </c>
      <c r="C11" s="79"/>
      <c r="D11" s="8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fV9p4nSoafk5Bj7Y9YNL4BOA+3zYZExJYraIqLPu39uR46M+tehCdSJbW42x1tS8FeQ+cK+fura6Xcb98b/cw==" saltValue="zPes/inciNKnW9wJc9Q4x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120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79</v>
      </c>
      <c r="C8" s="24"/>
      <c r="D8" s="24"/>
      <c r="E8" s="24"/>
      <c r="F8" s="48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7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1ZnOSE2pldF+he5BhIPAjKdNLO0MhmD51tAJcj2xt93DehS4hNdEDkeKC7pKAXkatV5iOVG52hIatzv1hWOgwA==" saltValue="D2sNPjH7tuzfK3KrLQFzM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121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102</v>
      </c>
      <c r="C8" s="79"/>
      <c r="D8" s="79"/>
      <c r="E8" s="79"/>
      <c r="F8" s="80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7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8" t="s">
        <v>103</v>
      </c>
      <c r="C15" s="79"/>
      <c r="D15" s="79"/>
      <c r="E15" s="79"/>
      <c r="F15" s="80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6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7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8" t="s">
        <v>104</v>
      </c>
      <c r="C22" s="79"/>
      <c r="D22" s="79"/>
      <c r="E22" s="79"/>
      <c r="F22" s="80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6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7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8" t="s">
        <v>105</v>
      </c>
      <c r="C29" s="79"/>
      <c r="D29" s="79"/>
      <c r="E29" s="79"/>
      <c r="F29" s="80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6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7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EFecmMxk8L0j9CBcT+I2czGWQqybEJ+chGA+rVMidQbQa7UXaDOJK5ECjZaQP1v0czqvIvTIK3iubMHb2Ht3WQ==" saltValue="FBFUu6Ndi1dcRq8wlwGGd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134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32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33</v>
      </c>
      <c r="C9" s="90" t="s">
        <v>15</v>
      </c>
      <c r="D9" s="91"/>
      <c r="E9" s="90" t="s">
        <v>42</v>
      </c>
      <c r="F9" s="91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aGEZmQXZ72zZiX7xo7chnunhxxwWusaq/GUie3Z5LhA4IEGrkXZGi/ZQw4yu4EI22DKuaCS4swb+EeouID2b7Q==" saltValue="suiOQASHnwzadNjcgALht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135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91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25</v>
      </c>
      <c r="C9" s="45" t="s">
        <v>15</v>
      </c>
      <c r="D9" s="46"/>
      <c r="E9" s="45" t="s">
        <v>42</v>
      </c>
      <c r="F9" s="46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92</v>
      </c>
      <c r="C14" s="79"/>
      <c r="D14" s="79"/>
      <c r="E14" s="79"/>
      <c r="F14" s="80"/>
      <c r="G14" s="1"/>
    </row>
    <row r="15" spans="1:7" ht="26.25" x14ac:dyDescent="0.25">
      <c r="A15" s="1"/>
      <c r="B15" s="45" t="s">
        <v>25</v>
      </c>
      <c r="C15" s="45" t="s">
        <v>15</v>
      </c>
      <c r="D15" s="46"/>
      <c r="E15" s="45" t="s">
        <v>42</v>
      </c>
      <c r="F15" s="46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8" t="s">
        <v>90</v>
      </c>
      <c r="C20" s="79"/>
      <c r="D20" s="79"/>
      <c r="E20" s="79"/>
      <c r="F20" s="80"/>
      <c r="G20" s="1"/>
    </row>
    <row r="21" spans="1:7" ht="26.25" x14ac:dyDescent="0.25">
      <c r="A21" s="1"/>
      <c r="B21" s="45" t="s">
        <v>25</v>
      </c>
      <c r="C21" s="45" t="s">
        <v>15</v>
      </c>
      <c r="D21" s="46"/>
      <c r="E21" s="45" t="s">
        <v>42</v>
      </c>
      <c r="F21" s="46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8" t="s">
        <v>93</v>
      </c>
      <c r="C26" s="79"/>
      <c r="D26" s="79"/>
      <c r="E26" s="79"/>
      <c r="F26" s="80"/>
      <c r="G26" s="1"/>
    </row>
    <row r="27" spans="1:7" ht="26.25" x14ac:dyDescent="0.25">
      <c r="A27" s="1"/>
      <c r="B27" s="45" t="s">
        <v>25</v>
      </c>
      <c r="C27" s="45" t="s">
        <v>15</v>
      </c>
      <c r="D27" s="46"/>
      <c r="E27" s="45" t="s">
        <v>42</v>
      </c>
      <c r="F27" s="46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Nd+CM/Aa8Hz2g5+VlcUIRF0vVnIoZpVOHw8BdzttCnrmvWp5MS8LNHVEkRp65ZsZrIHADyQb3TQ4AfMQeEMzOQ==" saltValue="iac8ebAdCnmM872ZiZXO/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17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92" t="s">
        <v>11</v>
      </c>
      <c r="C9" s="93"/>
      <c r="D9" s="93"/>
      <c r="E9" s="93"/>
      <c r="F9" s="94"/>
      <c r="G9" s="8">
        <v>3653747</v>
      </c>
      <c r="H9" s="12" t="s">
        <v>3</v>
      </c>
      <c r="I9" s="1"/>
    </row>
    <row r="10" spans="1:9" x14ac:dyDescent="0.25">
      <c r="A10" s="1"/>
      <c r="B10" s="92" t="s">
        <v>77</v>
      </c>
      <c r="C10" s="93"/>
      <c r="D10" s="93"/>
      <c r="E10" s="93"/>
      <c r="F10" s="94"/>
      <c r="G10" s="8">
        <v>0</v>
      </c>
      <c r="H10" s="12" t="s">
        <v>3</v>
      </c>
      <c r="I10" s="1"/>
    </row>
    <row r="11" spans="1:9" x14ac:dyDescent="0.25">
      <c r="A11" s="1"/>
      <c r="B11" s="92" t="s">
        <v>69</v>
      </c>
      <c r="C11" s="93"/>
      <c r="D11" s="93"/>
      <c r="E11" s="93"/>
      <c r="F11" s="94"/>
      <c r="G11" s="8">
        <v>-3280179.4867724865</v>
      </c>
      <c r="H11" s="12" t="s">
        <v>3</v>
      </c>
      <c r="I11" s="1"/>
    </row>
    <row r="12" spans="1:9" x14ac:dyDescent="0.25">
      <c r="A12" s="1"/>
      <c r="B12" s="95" t="s">
        <v>14</v>
      </c>
      <c r="C12" s="96"/>
      <c r="D12" s="96"/>
      <c r="E12" s="96"/>
      <c r="F12" s="97"/>
      <c r="G12" s="17">
        <f>(G9+G10)+G11</f>
        <v>373567.51322751353</v>
      </c>
      <c r="H12" s="16" t="s">
        <v>3</v>
      </c>
      <c r="I12" s="1"/>
    </row>
    <row r="13" spans="1:9" x14ac:dyDescent="0.25">
      <c r="A13" s="1"/>
      <c r="B13" s="92" t="s">
        <v>12</v>
      </c>
      <c r="C13" s="93"/>
      <c r="D13" s="93"/>
      <c r="E13" s="93"/>
      <c r="F13" s="94"/>
      <c r="G13" s="8">
        <v>1</v>
      </c>
      <c r="H13" s="12" t="s">
        <v>27</v>
      </c>
      <c r="I13" s="1"/>
    </row>
    <row r="14" spans="1:9" x14ac:dyDescent="0.25">
      <c r="A14" s="1"/>
      <c r="B14" s="78" t="s">
        <v>78</v>
      </c>
      <c r="C14" s="79"/>
      <c r="D14" s="79"/>
      <c r="E14" s="79"/>
      <c r="F14" s="80"/>
      <c r="G14" s="10">
        <f>IF(G13 = 0,0,-G12/G13)</f>
        <v>-373567.51322751353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Ch6FAndF5z/o6qlTXcpM7hFpB88F7gI3X/PJWPl34jZY9cdCsMp2tEVCHqJhYLx6gHeyAYWnOfveFiusV4sEw==" saltValue="NaSi/SR6k/jS9/9oWFL/X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2" t="s">
        <v>137</v>
      </c>
      <c r="C3" s="72"/>
      <c r="D3" s="1"/>
    </row>
    <row r="4" spans="1:4" ht="25.5" customHeight="1" x14ac:dyDescent="0.25">
      <c r="A4" s="1"/>
      <c r="B4" s="72"/>
      <c r="C4" s="7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20</v>
      </c>
      <c r="C8" s="48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7"/>
      <c r="C13" s="4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7" t="s">
        <v>115</v>
      </c>
      <c r="C16" s="48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8"/>
      <c r="C18" s="99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uUWcB+CxfQoFijwlgjykW95jV6gs89aAqtzASl/WHOhl5Ghoby+vdlbpjkD50iVdq5TrMg2qysGrr+396wTggA==" saltValue="5zvV0bWJ98/hyJ37h/aEz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x14ac:dyDescent="0.25">
      <c r="A9" s="1"/>
      <c r="B9" s="39" t="s">
        <v>35</v>
      </c>
      <c r="C9" s="39"/>
      <c r="D9" s="39"/>
      <c r="E9" s="7">
        <f>'Fane 3. Omkostninger i ØR2019'!E15</f>
        <v>9975013.7948181443</v>
      </c>
      <c r="F9" s="39" t="s">
        <v>3</v>
      </c>
      <c r="G9" s="1"/>
    </row>
    <row r="10" spans="1:7" x14ac:dyDescent="0.25">
      <c r="A10" s="1"/>
      <c r="B10" s="41" t="s">
        <v>140</v>
      </c>
      <c r="C10" s="39"/>
      <c r="D10" s="39"/>
      <c r="E10" s="7">
        <f>'Fane 3. Omkostninger i ØR2019'!E10*(1-'Fane 12. Nøgletal'!C17)*(1+'Fane 12. Nøgletal'!C10)</f>
        <v>0</v>
      </c>
      <c r="F10" s="39" t="s">
        <v>3</v>
      </c>
      <c r="G10" s="1"/>
    </row>
    <row r="11" spans="1:7" x14ac:dyDescent="0.25">
      <c r="A11" s="1"/>
      <c r="B11" s="41" t="s">
        <v>143</v>
      </c>
      <c r="C11" s="39"/>
      <c r="D11" s="39"/>
      <c r="E11" s="7">
        <f>('Fane 3. Omkostninger i ØR2019'!E11+'Fane 3. Omkostninger i ØR2019'!E12)*(1-'Fane 12. Nøgletal'!C17)*(1+'Fane 12. Nøgletal'!C11)</f>
        <v>0</v>
      </c>
      <c r="F11" s="39" t="s">
        <v>3</v>
      </c>
      <c r="G11" s="1"/>
    </row>
    <row r="12" spans="1:7" ht="17.100000000000001" customHeight="1" x14ac:dyDescent="0.25">
      <c r="A12" s="1"/>
      <c r="B12" s="31" t="s">
        <v>141</v>
      </c>
      <c r="C12" s="39"/>
      <c r="D12" s="39"/>
      <c r="E12" s="7">
        <f>'Fane 8.1. Varige tillæg'!C12+'Fane 8.1. Varige tillæg'!E12</f>
        <v>0</v>
      </c>
      <c r="F12" s="39" t="s">
        <v>3</v>
      </c>
      <c r="G12" s="1"/>
    </row>
    <row r="13" spans="1:7" ht="17.100000000000001" customHeight="1" x14ac:dyDescent="0.25">
      <c r="A13" s="1"/>
      <c r="B13" s="31" t="s">
        <v>144</v>
      </c>
      <c r="C13" s="39"/>
      <c r="D13" s="39"/>
      <c r="E13" s="8">
        <f>-('Fane 10. Bortfald'!C12+'Fane 10. Bortfald'!E12)</f>
        <v>0</v>
      </c>
      <c r="F13" s="39" t="s">
        <v>3</v>
      </c>
      <c r="G13" s="1"/>
    </row>
    <row r="14" spans="1:7" ht="17.100000000000001" customHeight="1" x14ac:dyDescent="0.25">
      <c r="A14" s="1"/>
      <c r="B14" s="31" t="s">
        <v>111</v>
      </c>
      <c r="C14" s="39"/>
      <c r="D14" s="39"/>
      <c r="E14" s="8">
        <f>'Fane 9. Tilknyttet aktivitet'!C12+'Fane 9. Tilknyttet aktivitet'!E12</f>
        <v>0</v>
      </c>
      <c r="F14" s="39" t="s">
        <v>3</v>
      </c>
      <c r="G14" s="1"/>
    </row>
    <row r="15" spans="1:7" ht="17.100000000000001" customHeight="1" x14ac:dyDescent="0.25">
      <c r="A15" s="1"/>
      <c r="B15" s="31" t="s">
        <v>26</v>
      </c>
      <c r="C15" s="39"/>
      <c r="D15" s="39"/>
      <c r="E15" s="8">
        <f>(E9-SUM(E10:E11))*'Fane 12. Nøgletal'!C9+E10*'Fane 12. Nøgletal'!C10+E11*'Fane 12. Nøgletal'!C11+SUM(E12:E14)*'Fane 12. Nøgletal'!C12</f>
        <v>126682.67519419042</v>
      </c>
      <c r="F15" s="39" t="s">
        <v>3</v>
      </c>
      <c r="G15" s="1"/>
    </row>
    <row r="16" spans="1:7" ht="17.100000000000001" customHeight="1" x14ac:dyDescent="0.25">
      <c r="A16" s="1"/>
      <c r="B16" s="31" t="s">
        <v>115</v>
      </c>
      <c r="C16" s="39"/>
      <c r="D16" s="39"/>
      <c r="E16" s="8">
        <f>-SUM(E9,E12:E15)*'Fane 12. Nøgletal'!C17</f>
        <v>-171728.8399902097</v>
      </c>
      <c r="F16" s="39" t="s">
        <v>3</v>
      </c>
      <c r="G16" s="1"/>
    </row>
    <row r="17" spans="1:7" ht="17.100000000000001" customHeight="1" x14ac:dyDescent="0.25">
      <c r="A17" s="1"/>
      <c r="B17" s="44" t="s">
        <v>28</v>
      </c>
      <c r="C17" s="42"/>
      <c r="D17" s="42"/>
      <c r="E17" s="9">
        <f>SUM(E9,E12:E16)</f>
        <v>9929967.6300221253</v>
      </c>
      <c r="F17" s="37" t="s">
        <v>3</v>
      </c>
      <c r="G17" s="1"/>
    </row>
    <row r="18" spans="1:7" ht="15" customHeight="1" x14ac:dyDescent="0.25">
      <c r="A18" s="1"/>
      <c r="B18" s="43" t="s">
        <v>16</v>
      </c>
      <c r="C18" s="43"/>
      <c r="D18" s="43"/>
      <c r="E18" s="43"/>
      <c r="F18" s="43"/>
      <c r="G18" s="1"/>
    </row>
    <row r="19" spans="1:7" ht="15" customHeight="1" x14ac:dyDescent="0.25">
      <c r="A19" s="1"/>
      <c r="B19" s="37" t="s">
        <v>16</v>
      </c>
      <c r="C19" s="37"/>
      <c r="D19" s="37"/>
      <c r="E19" s="9">
        <f>'Fane 4. Ikke-påvirkelige omk.'!C14</f>
        <v>3207378.7861411129</v>
      </c>
      <c r="F19" s="37" t="s">
        <v>3</v>
      </c>
      <c r="G19" s="1"/>
    </row>
    <row r="20" spans="1:7" ht="15" customHeight="1" x14ac:dyDescent="0.25">
      <c r="A20" s="1"/>
      <c r="B20" s="43" t="s">
        <v>84</v>
      </c>
      <c r="C20" s="43"/>
      <c r="D20" s="43"/>
      <c r="E20" s="43"/>
      <c r="F20" s="43"/>
      <c r="G20" s="1"/>
    </row>
    <row r="21" spans="1:7" ht="15" customHeight="1" x14ac:dyDescent="0.25">
      <c r="A21" s="1"/>
      <c r="B21" s="31" t="s">
        <v>80</v>
      </c>
      <c r="C21" s="39"/>
      <c r="D21" s="39"/>
      <c r="E21" s="8">
        <f>'Fane 8.2. Engangstillæg'!C13</f>
        <v>0</v>
      </c>
      <c r="F21" s="39" t="s">
        <v>3</v>
      </c>
      <c r="G21" s="1"/>
    </row>
    <row r="22" spans="1:7" ht="15" customHeight="1" x14ac:dyDescent="0.25">
      <c r="A22" s="1"/>
      <c r="B22" s="31" t="s">
        <v>81</v>
      </c>
      <c r="C22" s="39"/>
      <c r="D22" s="39"/>
      <c r="E22" s="8">
        <f>'Fane 8.2. Engangstillæg'!E13</f>
        <v>0</v>
      </c>
      <c r="F22" s="39" t="s">
        <v>3</v>
      </c>
      <c r="G22" s="1"/>
    </row>
    <row r="23" spans="1:7" x14ac:dyDescent="0.25">
      <c r="A23" s="1"/>
      <c r="B23" s="44" t="s">
        <v>85</v>
      </c>
      <c r="C23" s="42"/>
      <c r="D23" s="42"/>
      <c r="E23" s="9">
        <f>SUM(E21:E22)</f>
        <v>0</v>
      </c>
      <c r="F23" s="37" t="s">
        <v>3</v>
      </c>
      <c r="G23" s="1"/>
    </row>
    <row r="24" spans="1:7" x14ac:dyDescent="0.25">
      <c r="A24" s="1"/>
      <c r="B24" s="43" t="s">
        <v>10</v>
      </c>
      <c r="C24" s="43"/>
      <c r="D24" s="43"/>
      <c r="E24" s="43"/>
      <c r="F24" s="43"/>
      <c r="G24" s="1"/>
    </row>
    <row r="25" spans="1:7" ht="15" customHeight="1" x14ac:dyDescent="0.25">
      <c r="A25" s="1"/>
      <c r="B25" s="37" t="s">
        <v>18</v>
      </c>
      <c r="C25" s="37"/>
      <c r="D25" s="37"/>
      <c r="E25" s="9">
        <f>'Fane 11. Hist. over-underdæk.'!G14</f>
        <v>-373567.51322751353</v>
      </c>
      <c r="F25" s="37" t="s">
        <v>3</v>
      </c>
      <c r="G25" s="1"/>
    </row>
    <row r="26" spans="1:7" ht="15" customHeight="1" x14ac:dyDescent="0.25">
      <c r="A26" s="1"/>
      <c r="B26" s="43" t="s">
        <v>151</v>
      </c>
      <c r="C26" s="43"/>
      <c r="D26" s="43"/>
      <c r="E26" s="43"/>
      <c r="F26" s="43"/>
      <c r="G26" s="1"/>
    </row>
    <row r="27" spans="1:7" x14ac:dyDescent="0.25">
      <c r="A27" s="1"/>
      <c r="B27" s="37" t="s">
        <v>152</v>
      </c>
      <c r="C27" s="37"/>
      <c r="D27" s="37"/>
      <c r="E27" s="9">
        <f>'Fane 6. Korrektioner'!E10</f>
        <v>0</v>
      </c>
      <c r="F27" s="37" t="s">
        <v>3</v>
      </c>
      <c r="G27" s="1"/>
    </row>
    <row r="28" spans="1:7" x14ac:dyDescent="0.25">
      <c r="A28" s="1"/>
      <c r="B28" s="43" t="s">
        <v>36</v>
      </c>
      <c r="C28" s="43"/>
      <c r="D28" s="43"/>
      <c r="E28" s="10">
        <f>SUM(E17,E19,E23,E25,E27)</f>
        <v>12763778.902935725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spuXMFD3Tqc3TjDNRz+lE6QnPfwTXj43ABKbjTPnl72SRnRCQoayXYm+KZMmIgT39amrEk3HHiruePwfrUrSCg==" saltValue="ajkBdIaf6rE1HebARLs0/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ht="15" customHeight="1" x14ac:dyDescent="0.25">
      <c r="A9" s="1"/>
      <c r="B9" s="39" t="s">
        <v>37</v>
      </c>
      <c r="C9" s="39"/>
      <c r="D9" s="39"/>
      <c r="E9" s="7">
        <f>'Fane 2.1. Økonomisk ramme 2020'!E17</f>
        <v>9929967.6300221253</v>
      </c>
      <c r="F9" s="39" t="s">
        <v>3</v>
      </c>
      <c r="G9" s="1"/>
    </row>
    <row r="10" spans="1:7" ht="15" customHeight="1" x14ac:dyDescent="0.25">
      <c r="A10" s="1"/>
      <c r="B10" s="39" t="s">
        <v>162</v>
      </c>
      <c r="C10" s="39"/>
      <c r="D10" s="39"/>
      <c r="E10" s="7">
        <v>-12229.082718520798</v>
      </c>
      <c r="F10" s="39" t="s">
        <v>3</v>
      </c>
      <c r="G10" s="1"/>
    </row>
    <row r="11" spans="1:7" ht="15" customHeight="1" x14ac:dyDescent="0.25">
      <c r="A11" s="1"/>
      <c r="B11" s="31" t="s">
        <v>144</v>
      </c>
      <c r="C11" s="39"/>
      <c r="D11" s="39"/>
      <c r="E11" s="7">
        <f>-('Fane 10. Bortfald'!C18+'Fane 10. Bortfald'!E18)</f>
        <v>0</v>
      </c>
      <c r="F11" s="39" t="s">
        <v>3</v>
      </c>
      <c r="G11" s="1"/>
    </row>
    <row r="12" spans="1:7" ht="15" customHeight="1" x14ac:dyDescent="0.25">
      <c r="A12" s="1"/>
      <c r="B12" s="40" t="s">
        <v>26</v>
      </c>
      <c r="C12" s="39"/>
      <c r="D12" s="39"/>
      <c r="E12" s="8">
        <f>SUM(E9:E11)*'Fane 12. Nøgletal'!C12</f>
        <v>195379.44938188099</v>
      </c>
      <c r="F12" s="39" t="s">
        <v>3</v>
      </c>
      <c r="G12" s="1"/>
    </row>
    <row r="13" spans="1:7" ht="15" customHeight="1" x14ac:dyDescent="0.25">
      <c r="A13" s="1"/>
      <c r="B13" s="40" t="s">
        <v>115</v>
      </c>
      <c r="C13" s="39"/>
      <c r="D13" s="39"/>
      <c r="E13" s="8">
        <f>-SUM(E9:E12)*'Fane 12. Nøgletal'!C17</f>
        <v>-171923.00594365326</v>
      </c>
      <c r="F13" s="39" t="s">
        <v>3</v>
      </c>
      <c r="G13" s="1"/>
    </row>
    <row r="14" spans="1:7" ht="15" customHeight="1" x14ac:dyDescent="0.25">
      <c r="A14" s="1"/>
      <c r="B14" s="42" t="s">
        <v>28</v>
      </c>
      <c r="C14" s="42"/>
      <c r="D14" s="42"/>
      <c r="E14" s="9">
        <f>SUM(E9:E13)</f>
        <v>9941194.9907418303</v>
      </c>
      <c r="F14" s="37" t="s">
        <v>3</v>
      </c>
      <c r="G14" s="1"/>
    </row>
    <row r="15" spans="1:7" x14ac:dyDescent="0.25">
      <c r="A15" s="1"/>
      <c r="B15" s="43" t="s">
        <v>16</v>
      </c>
      <c r="C15" s="43"/>
      <c r="D15" s="43"/>
      <c r="E15" s="43"/>
      <c r="F15" s="43"/>
      <c r="G15" s="1"/>
    </row>
    <row r="16" spans="1:7" ht="15" customHeight="1" x14ac:dyDescent="0.25">
      <c r="A16" s="1"/>
      <c r="B16" s="37" t="s">
        <v>16</v>
      </c>
      <c r="C16" s="37"/>
      <c r="D16" s="37"/>
      <c r="E16" s="9">
        <f>'Fane 4. Ikke-påvirkelige omk.'!C14*(1+'Fane 12. Nøgletal'!C12)</f>
        <v>3270564.1482280931</v>
      </c>
      <c r="F16" s="37" t="s">
        <v>3</v>
      </c>
      <c r="G16" s="1"/>
    </row>
    <row r="17" spans="1:7" ht="15" customHeight="1" x14ac:dyDescent="0.25">
      <c r="A17" s="1"/>
      <c r="B17" s="43" t="s">
        <v>84</v>
      </c>
      <c r="C17" s="43"/>
      <c r="D17" s="43"/>
      <c r="E17" s="43"/>
      <c r="F17" s="43"/>
      <c r="G17" s="1"/>
    </row>
    <row r="18" spans="1:7" ht="15" customHeight="1" x14ac:dyDescent="0.25">
      <c r="A18" s="1"/>
      <c r="B18" s="31" t="s">
        <v>80</v>
      </c>
      <c r="C18" s="39"/>
      <c r="D18" s="39"/>
      <c r="E18" s="8">
        <f>'Fane 8.2. Engangstillæg'!C20</f>
        <v>0</v>
      </c>
      <c r="F18" s="39" t="s">
        <v>3</v>
      </c>
      <c r="G18" s="1"/>
    </row>
    <row r="19" spans="1:7" ht="15" customHeight="1" x14ac:dyDescent="0.25">
      <c r="A19" s="1"/>
      <c r="B19" s="31" t="s">
        <v>81</v>
      </c>
      <c r="C19" s="39"/>
      <c r="D19" s="39"/>
      <c r="E19" s="8">
        <f>'Fane 8.2. Engangstillæg'!E20</f>
        <v>0</v>
      </c>
      <c r="F19" s="39" t="s">
        <v>3</v>
      </c>
      <c r="G19" s="1"/>
    </row>
    <row r="20" spans="1:7" ht="15" customHeight="1" x14ac:dyDescent="0.25">
      <c r="A20" s="1"/>
      <c r="B20" s="44" t="s">
        <v>85</v>
      </c>
      <c r="C20" s="42"/>
      <c r="D20" s="42"/>
      <c r="E20" s="9">
        <f>SUM(E18:E19)</f>
        <v>0</v>
      </c>
      <c r="F20" s="37" t="s">
        <v>3</v>
      </c>
      <c r="G20" s="1"/>
    </row>
    <row r="21" spans="1:7" x14ac:dyDescent="0.25">
      <c r="A21" s="1"/>
      <c r="B21" s="43" t="s">
        <v>95</v>
      </c>
      <c r="C21" s="43"/>
      <c r="D21" s="43"/>
      <c r="E21" s="43"/>
      <c r="F21" s="43"/>
      <c r="G21" s="1"/>
    </row>
    <row r="22" spans="1:7" ht="15" customHeight="1" x14ac:dyDescent="0.25">
      <c r="A22" s="1"/>
      <c r="B22" s="37" t="s">
        <v>131</v>
      </c>
      <c r="C22" s="37"/>
      <c r="D22" s="37"/>
      <c r="E22" s="9">
        <f>'Fane 5. Kontrol af ØR2018'!E35</f>
        <v>-73421.625620825725</v>
      </c>
      <c r="F22" s="37" t="s">
        <v>3</v>
      </c>
      <c r="G22" s="1"/>
    </row>
    <row r="23" spans="1:7" x14ac:dyDescent="0.25">
      <c r="A23" s="1"/>
      <c r="B23" s="43" t="s">
        <v>39</v>
      </c>
      <c r="C23" s="43"/>
      <c r="D23" s="43"/>
      <c r="E23" s="10">
        <f>SUM(E14,E16,E20,E22)</f>
        <v>13138337.513349099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rQCJK6kHgkFmdG3uvHX6FTjwaTMPBqOJLHQThgub63aS3BMpgON8ykqNa1X2SHrnf+D0PkTv96tK9FksQZvuKg==" saltValue="dPSdMt95Q6hHpSi6I3pUZ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37</v>
      </c>
      <c r="C8" s="39"/>
      <c r="D8" s="39"/>
      <c r="E8" s="7">
        <f>'Fane 2.2. Økonomisk ramme 2021'!E14</f>
        <v>9941194.9907418303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Bortfald'!C24+'Fane 10.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SUM(E8:E9)*'Fane 12. Nøgletal'!C12</f>
        <v>195841.54131761406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-172329.62104501057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9964706.911014434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omk.'!C14*(1+'Fane 12. Nøgletal'!C12)^2</f>
        <v>3334994.2619481864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Engangstillæg'!C27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Engangstillæg'!E27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2.2. Økonomisk ramme 2021'!E22</f>
        <v>-73421.625620825725</v>
      </c>
      <c r="F20" s="37" t="s">
        <v>3</v>
      </c>
      <c r="G20" s="1"/>
    </row>
    <row r="21" spans="1:7" x14ac:dyDescent="0.25">
      <c r="A21" s="1"/>
      <c r="B21" s="43" t="s">
        <v>40</v>
      </c>
      <c r="C21" s="43"/>
      <c r="D21" s="43"/>
      <c r="E21" s="10">
        <f>SUM(E12,E14,E18,E20)</f>
        <v>13226279.547341796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829BGLqXSm4SztINw48G7t4aJFvP89FFNmlWb8vMKw+QLQ7vsGAvSlKdbeInp9vvCRUysrHBk7y5oKYbSbsKFQ==" saltValue="CIbjDx4InOKEUMixb6Gm/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145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38</v>
      </c>
      <c r="C8" s="39"/>
      <c r="D8" s="39"/>
      <c r="E8" s="7">
        <f>'Fane 2.3. Økonomisk ramme 2022'!E12</f>
        <v>9964706.911014434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Bortfald'!C30+'Fane 10.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E8*'Fane 12. Nøgletal'!C12</f>
        <v>196304.72614698435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-172737.19783174412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9988274.4393296745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omk.'!C14*(1+'Fane 12. Nøgletal'!C12)^3</f>
        <v>3400693.6489085658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Engangstillæg'!C34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Engangstillæg'!E34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2.3. Økonomisk ramme 2022'!E20</f>
        <v>-73421.625620825725</v>
      </c>
      <c r="F20" s="37" t="s">
        <v>3</v>
      </c>
      <c r="G20" s="1"/>
    </row>
    <row r="21" spans="1:7" x14ac:dyDescent="0.25">
      <c r="A21" s="1"/>
      <c r="B21" s="43" t="s">
        <v>89</v>
      </c>
      <c r="C21" s="43"/>
      <c r="D21" s="43"/>
      <c r="E21" s="10">
        <f>SUM(E12,E14,E18,E20)</f>
        <v>13315546.462617414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F+nwjttu5adV4P6LoAvplQt4kDMCdNPY0ORkXwTmioTTnyHEPEtgA7gUHY4tKEG6I2vohDOAM8Z41j49ap3l6Q==" saltValue="yGehJo8rBsBYkCoWAVkci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138</v>
      </c>
      <c r="C3" s="72"/>
      <c r="D3" s="72"/>
      <c r="E3" s="72"/>
      <c r="F3" s="72"/>
      <c r="G3" s="1"/>
    </row>
    <row r="4" spans="1:7" ht="29.2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72</v>
      </c>
      <c r="C8" s="43"/>
      <c r="D8" s="43"/>
      <c r="E8" s="43"/>
      <c r="F8" s="43"/>
      <c r="G8" s="1"/>
    </row>
    <row r="9" spans="1:7" x14ac:dyDescent="0.25">
      <c r="A9" s="1"/>
      <c r="B9" s="73" t="s">
        <v>70</v>
      </c>
      <c r="C9" s="73"/>
      <c r="D9" s="73"/>
      <c r="E9" s="7">
        <v>10020264.306399412</v>
      </c>
      <c r="F9" s="39" t="s">
        <v>3</v>
      </c>
      <c r="G9" s="1"/>
    </row>
    <row r="10" spans="1:7" x14ac:dyDescent="0.25">
      <c r="A10" s="1"/>
      <c r="B10" s="75" t="s">
        <v>140</v>
      </c>
      <c r="C10" s="75"/>
      <c r="D10" s="75"/>
      <c r="E10" s="7">
        <v>0</v>
      </c>
      <c r="F10" s="39" t="s">
        <v>3</v>
      </c>
      <c r="G10" s="1"/>
    </row>
    <row r="11" spans="1:7" x14ac:dyDescent="0.25">
      <c r="A11" s="1"/>
      <c r="B11" s="74" t="s">
        <v>141</v>
      </c>
      <c r="C11" s="74"/>
      <c r="D11" s="74"/>
      <c r="E11" s="7">
        <v>0</v>
      </c>
      <c r="F11" s="39" t="s">
        <v>3</v>
      </c>
      <c r="G11" s="1"/>
    </row>
    <row r="12" spans="1:7" x14ac:dyDescent="0.25">
      <c r="A12" s="1"/>
      <c r="B12" s="74" t="s">
        <v>142</v>
      </c>
      <c r="C12" s="74"/>
      <c r="D12" s="74"/>
      <c r="E12" s="8">
        <v>0</v>
      </c>
      <c r="F12" s="39" t="s">
        <v>3</v>
      </c>
      <c r="G12" s="1"/>
    </row>
    <row r="13" spans="1:7" x14ac:dyDescent="0.25">
      <c r="A13" s="1"/>
      <c r="B13" s="74" t="s">
        <v>26</v>
      </c>
      <c r="C13" s="74"/>
      <c r="D13" s="74"/>
      <c r="E13" s="8">
        <f>(SUM(E9:E9)-SUM(E10:E10))*'Fane 12. Nøgletal'!C9+SUM(E10:E10)*'Fane 12. Nøgletal'!C10+SUM(E11:E12)*'Fane 12. Nøgletal'!C11</f>
        <v>127257.35669127254</v>
      </c>
      <c r="F13" s="39" t="s">
        <v>3</v>
      </c>
      <c r="G13" s="1"/>
    </row>
    <row r="14" spans="1:7" x14ac:dyDescent="0.25">
      <c r="A14" s="1"/>
      <c r="B14" s="74" t="s">
        <v>115</v>
      </c>
      <c r="C14" s="74"/>
      <c r="D14" s="74"/>
      <c r="E14" s="8">
        <f>-SUM(E9:E9,E11:E13)*'Fane 12. Nøgletal'!C17</f>
        <v>-172507.86827254167</v>
      </c>
      <c r="F14" s="39" t="s">
        <v>3</v>
      </c>
      <c r="G14" s="1"/>
    </row>
    <row r="15" spans="1:7" x14ac:dyDescent="0.25">
      <c r="A15" s="1"/>
      <c r="B15" s="76" t="s">
        <v>28</v>
      </c>
      <c r="C15" s="76"/>
      <c r="D15" s="76"/>
      <c r="E15" s="9">
        <f>SUM(E9,E11:E14)</f>
        <v>9975013.7948181443</v>
      </c>
      <c r="F15" s="37" t="s">
        <v>3</v>
      </c>
      <c r="G15" s="1"/>
    </row>
    <row r="16" spans="1:7" x14ac:dyDescent="0.25">
      <c r="A16" s="1"/>
      <c r="B16" s="77" t="s">
        <v>16</v>
      </c>
      <c r="C16" s="77"/>
      <c r="D16" s="77"/>
      <c r="E16" s="43"/>
      <c r="F16" s="43"/>
      <c r="G16" s="1"/>
    </row>
    <row r="17" spans="1:7" x14ac:dyDescent="0.25">
      <c r="A17" s="1"/>
      <c r="B17" s="71" t="s">
        <v>16</v>
      </c>
      <c r="C17" s="71"/>
      <c r="D17" s="71"/>
      <c r="E17" s="9">
        <v>2917661.1736732894</v>
      </c>
      <c r="F17" s="37" t="s">
        <v>3</v>
      </c>
      <c r="G17" s="1"/>
    </row>
    <row r="18" spans="1:7" x14ac:dyDescent="0.25">
      <c r="A18" s="1"/>
      <c r="B18" s="43" t="s">
        <v>71</v>
      </c>
      <c r="C18" s="43"/>
      <c r="D18" s="43"/>
      <c r="E18" s="43"/>
      <c r="F18" s="43"/>
      <c r="G18" s="1"/>
    </row>
    <row r="19" spans="1:7" ht="27" customHeight="1" x14ac:dyDescent="0.25">
      <c r="A19" s="1"/>
      <c r="B19" s="70" t="s">
        <v>74</v>
      </c>
      <c r="C19" s="70"/>
      <c r="D19" s="70"/>
      <c r="E19" s="9">
        <v>14900.393529556231</v>
      </c>
      <c r="F19" s="37" t="s">
        <v>3</v>
      </c>
      <c r="G19" s="1"/>
    </row>
    <row r="20" spans="1:7" x14ac:dyDescent="0.25">
      <c r="A20" s="1"/>
      <c r="B20" s="43" t="s">
        <v>10</v>
      </c>
      <c r="C20" s="43"/>
      <c r="D20" s="43"/>
      <c r="E20" s="43"/>
      <c r="F20" s="43"/>
      <c r="G20" s="1"/>
    </row>
    <row r="21" spans="1:7" x14ac:dyDescent="0.25">
      <c r="A21" s="1"/>
      <c r="B21" s="71" t="s">
        <v>18</v>
      </c>
      <c r="C21" s="71"/>
      <c r="D21" s="71"/>
      <c r="E21" s="9">
        <v>-373567</v>
      </c>
      <c r="F21" s="37" t="s">
        <v>3</v>
      </c>
      <c r="G21" s="1"/>
    </row>
    <row r="22" spans="1:7" x14ac:dyDescent="0.25">
      <c r="A22" s="1"/>
      <c r="B22" s="43" t="s">
        <v>23</v>
      </c>
      <c r="C22" s="43"/>
      <c r="D22" s="43"/>
      <c r="E22" s="10">
        <f>SUM(E21,E19,E17,E15)</f>
        <v>12534008.36202099</v>
      </c>
      <c r="F22" s="11" t="s">
        <v>3</v>
      </c>
      <c r="G22" s="1"/>
    </row>
    <row r="23" spans="1:7" ht="28.5" customHeight="1" x14ac:dyDescent="0.25">
      <c r="A23" s="1"/>
      <c r="B23" s="69" t="s">
        <v>118</v>
      </c>
      <c r="C23" s="69"/>
      <c r="D23" s="69"/>
      <c r="E23" s="69"/>
      <c r="F23" s="69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LjlgRQbHaWeFMhGIrzusKO5Y/wh6diEr8bladXE6xuou2X38eUHkqR8BEVQ0V70Cc0+pWF9suf7iFzeuku3xlw==" saltValue="AlvOrBbGLJXr51Oa5Cx2f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110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8" t="s">
        <v>58</v>
      </c>
      <c r="C8" s="79"/>
      <c r="D8" s="80"/>
      <c r="E8" s="1"/>
      <c r="F8" s="1"/>
    </row>
    <row r="9" spans="1:6" ht="15" customHeight="1" x14ac:dyDescent="0.25">
      <c r="A9" s="1"/>
      <c r="B9" s="19" t="s">
        <v>43</v>
      </c>
      <c r="C9" s="37" t="s">
        <v>59</v>
      </c>
      <c r="D9" s="37"/>
      <c r="E9" s="1"/>
      <c r="F9" s="1"/>
    </row>
    <row r="10" spans="1:6" x14ac:dyDescent="0.25">
      <c r="A10" s="1"/>
      <c r="B10" s="30" t="s">
        <v>147</v>
      </c>
      <c r="C10" s="8">
        <v>3070689.59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5843</v>
      </c>
      <c r="D11" s="12" t="s">
        <v>3</v>
      </c>
      <c r="E11" s="1"/>
      <c r="F11" s="1"/>
    </row>
    <row r="12" spans="1:6" ht="26.25" x14ac:dyDescent="0.25">
      <c r="A12" s="1"/>
      <c r="B12" s="34" t="s">
        <v>149</v>
      </c>
      <c r="C12" s="8">
        <v>8114</v>
      </c>
      <c r="D12" s="12" t="s">
        <v>3</v>
      </c>
      <c r="E12" s="1"/>
      <c r="F12" s="1"/>
    </row>
    <row r="13" spans="1:6" x14ac:dyDescent="0.25">
      <c r="A13" s="1"/>
      <c r="B13" s="47" t="s">
        <v>60</v>
      </c>
      <c r="C13" s="10">
        <f>SUM(C10:C12)</f>
        <v>3084646.59</v>
      </c>
      <c r="D13" s="11" t="s">
        <v>3</v>
      </c>
      <c r="E13" s="1"/>
      <c r="F13" s="1"/>
    </row>
    <row r="14" spans="1:6" x14ac:dyDescent="0.25">
      <c r="A14" s="1"/>
      <c r="B14" s="47" t="s">
        <v>61</v>
      </c>
      <c r="C14" s="10">
        <f>C13*(1+'Fane 12. Nøgletal'!C12)^2</f>
        <v>3207378.7861411129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jnZqwfmaB/eLhW0v4kFS1UwpkodP2yvmpxQqJ5kFxPKRHRjST8ycRB5rJL5RAr+7XgfdKMECvuSP3zUUZ+Uuxw==" saltValue="hRWhDF/rS18EXCjhJI5JM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119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1" t="s">
        <v>47</v>
      </c>
      <c r="C6" s="81"/>
      <c r="D6" s="81"/>
      <c r="E6" s="81"/>
      <c r="F6" s="81"/>
      <c r="G6" s="1"/>
    </row>
    <row r="7" spans="1:7" ht="15" customHeight="1" x14ac:dyDescent="0.25">
      <c r="A7" s="1"/>
      <c r="B7" s="82" t="s">
        <v>45</v>
      </c>
      <c r="C7" s="82"/>
      <c r="D7" s="82"/>
      <c r="E7" s="8">
        <v>-302029.14666666667</v>
      </c>
      <c r="F7" s="12" t="s">
        <v>3</v>
      </c>
      <c r="G7" s="1"/>
    </row>
    <row r="8" spans="1:7" ht="15" customHeight="1" x14ac:dyDescent="0.25">
      <c r="A8" s="1"/>
      <c r="B8" s="82" t="s">
        <v>46</v>
      </c>
      <c r="C8" s="82"/>
      <c r="D8" s="82"/>
      <c r="E8" s="8">
        <v>8342.6441833637655</v>
      </c>
      <c r="F8" s="12" t="s">
        <v>3</v>
      </c>
      <c r="G8" s="1"/>
    </row>
    <row r="9" spans="1:7" ht="15" customHeight="1" x14ac:dyDescent="0.25">
      <c r="A9" s="1"/>
      <c r="B9" s="84" t="s">
        <v>129</v>
      </c>
      <c r="C9" s="85"/>
      <c r="D9" s="86"/>
      <c r="E9" s="9">
        <f>SUM(E7:E8)</f>
        <v>-293686.5024833029</v>
      </c>
      <c r="F9" s="15" t="s">
        <v>3</v>
      </c>
      <c r="G9" s="1"/>
    </row>
    <row r="10" spans="1:7" ht="15" customHeight="1" x14ac:dyDescent="0.25">
      <c r="A10" s="1"/>
      <c r="B10" s="78"/>
      <c r="C10" s="79"/>
      <c r="D10" s="79"/>
      <c r="E10" s="79"/>
      <c r="F10" s="80"/>
      <c r="G10" s="1"/>
    </row>
    <row r="11" spans="1:7" ht="27" customHeight="1" x14ac:dyDescent="0.25">
      <c r="A11" s="1"/>
      <c r="B11" s="69" t="s">
        <v>113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99</v>
      </c>
      <c r="C14" s="81"/>
      <c r="D14" s="81"/>
      <c r="E14" s="81"/>
      <c r="F14" s="81"/>
      <c r="G14" s="1"/>
    </row>
    <row r="15" spans="1:7" x14ac:dyDescent="0.25">
      <c r="A15" s="1"/>
      <c r="B15" s="82" t="s">
        <v>100</v>
      </c>
      <c r="C15" s="82"/>
      <c r="D15" s="82"/>
      <c r="E15" s="8">
        <v>12649962.384275513</v>
      </c>
      <c r="F15" s="12" t="s">
        <v>3</v>
      </c>
      <c r="G15" s="1"/>
    </row>
    <row r="16" spans="1:7" x14ac:dyDescent="0.25">
      <c r="A16" s="1"/>
      <c r="B16" s="82" t="s">
        <v>101</v>
      </c>
      <c r="C16" s="82"/>
      <c r="D16" s="82"/>
      <c r="E16" s="8">
        <v>12747311</v>
      </c>
      <c r="F16" s="12" t="s">
        <v>3</v>
      </c>
      <c r="G16" s="1"/>
    </row>
    <row r="17" spans="1:7" x14ac:dyDescent="0.25">
      <c r="A17" s="1"/>
      <c r="B17" s="82" t="s">
        <v>44</v>
      </c>
      <c r="C17" s="82"/>
      <c r="D17" s="82"/>
      <c r="E17" s="8">
        <v>511267</v>
      </c>
      <c r="F17" s="12" t="s">
        <v>3</v>
      </c>
      <c r="G17" s="1"/>
    </row>
    <row r="18" spans="1:7" x14ac:dyDescent="0.25">
      <c r="A18" s="1"/>
      <c r="B18" s="83" t="s">
        <v>130</v>
      </c>
      <c r="C18" s="83"/>
      <c r="D18" s="83"/>
      <c r="E18" s="9">
        <f>E15-(E16-E17)</f>
        <v>413918.38427551277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112</v>
      </c>
      <c r="C20" s="69"/>
      <c r="D20" s="69"/>
      <c r="E20" s="69"/>
      <c r="F20" s="6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1" t="s">
        <v>66</v>
      </c>
      <c r="C23" s="81"/>
      <c r="D23" s="81"/>
      <c r="E23" s="81"/>
      <c r="F23" s="81"/>
      <c r="G23" s="1"/>
    </row>
    <row r="24" spans="1:7" x14ac:dyDescent="0.25">
      <c r="A24" s="1"/>
      <c r="B24" s="82" t="s">
        <v>67</v>
      </c>
      <c r="C24" s="82"/>
      <c r="D24" s="82"/>
      <c r="E24" s="8">
        <v>12635654.164122913</v>
      </c>
      <c r="F24" s="12" t="s">
        <v>3</v>
      </c>
      <c r="G24" s="1"/>
    </row>
    <row r="25" spans="1:7" x14ac:dyDescent="0.25">
      <c r="A25" s="1"/>
      <c r="B25" s="82" t="s">
        <v>68</v>
      </c>
      <c r="C25" s="82"/>
      <c r="D25" s="82"/>
      <c r="E25" s="8">
        <v>12972655.049999999</v>
      </c>
      <c r="F25" s="12" t="s">
        <v>3</v>
      </c>
      <c r="G25" s="1"/>
    </row>
    <row r="26" spans="1:7" x14ac:dyDescent="0.25">
      <c r="A26" s="1"/>
      <c r="B26" s="82" t="s">
        <v>44</v>
      </c>
      <c r="C26" s="82"/>
      <c r="D26" s="82"/>
      <c r="E26" s="8">
        <v>0</v>
      </c>
      <c r="F26" s="12" t="s">
        <v>3</v>
      </c>
      <c r="G26" s="1"/>
    </row>
    <row r="27" spans="1:7" x14ac:dyDescent="0.25">
      <c r="A27" s="1"/>
      <c r="B27" s="83" t="s">
        <v>130</v>
      </c>
      <c r="C27" s="83"/>
      <c r="D27" s="83"/>
      <c r="E27" s="9">
        <f>E24-(E25-E26)</f>
        <v>-337000.88587708585</v>
      </c>
      <c r="F27" s="15" t="s">
        <v>3</v>
      </c>
      <c r="G27" s="1"/>
    </row>
    <row r="28" spans="1:7" x14ac:dyDescent="0.25">
      <c r="A28" s="1"/>
      <c r="B28" s="78"/>
      <c r="C28" s="79"/>
      <c r="D28" s="79"/>
      <c r="E28" s="79"/>
      <c r="F28" s="8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1" t="s">
        <v>114</v>
      </c>
      <c r="C31" s="81"/>
      <c r="D31" s="81"/>
      <c r="E31" s="81"/>
      <c r="F31" s="81"/>
      <c r="G31" s="1"/>
    </row>
    <row r="32" spans="1:7" x14ac:dyDescent="0.25">
      <c r="A32" s="1"/>
      <c r="B32" s="75" t="s">
        <v>47</v>
      </c>
      <c r="C32" s="75"/>
      <c r="D32" s="75"/>
      <c r="E32" s="8">
        <f>E9</f>
        <v>-293686.5024833029</v>
      </c>
      <c r="F32" s="12" t="s">
        <v>3</v>
      </c>
      <c r="G32" s="1"/>
    </row>
    <row r="33" spans="1:7" x14ac:dyDescent="0.25">
      <c r="A33" s="1"/>
      <c r="B33" s="75" t="s">
        <v>128</v>
      </c>
      <c r="C33" s="75"/>
      <c r="D33" s="75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5" t="s">
        <v>122</v>
      </c>
      <c r="C34" s="75"/>
      <c r="D34" s="75"/>
      <c r="E34" s="8">
        <v>4</v>
      </c>
      <c r="F34" s="12" t="s">
        <v>27</v>
      </c>
      <c r="G34" s="1"/>
    </row>
    <row r="35" spans="1:7" x14ac:dyDescent="0.25">
      <c r="A35" s="1"/>
      <c r="B35" s="83" t="s">
        <v>153</v>
      </c>
      <c r="C35" s="83"/>
      <c r="D35" s="83"/>
      <c r="E35" s="9">
        <f>SUM(E32:E33)/E34</f>
        <v>-73421.625620825725</v>
      </c>
      <c r="F35" s="15" t="s">
        <v>3</v>
      </c>
      <c r="G35" s="1"/>
    </row>
    <row r="36" spans="1:7" x14ac:dyDescent="0.25">
      <c r="A36" s="1"/>
      <c r="B36" s="81"/>
      <c r="C36" s="81"/>
      <c r="D36" s="81"/>
      <c r="E36" s="81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WKoAGpD2LSJWgopsF7usecnr/8WIeCB5C1oCZtFH/8EqB3knZclTnkmw+TFrPItLhmvEOHJ7gMr6hSX8grnS4w==" saltValue="lq/uTreC12a+vQBdIeGLVg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154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1" t="s">
        <v>94</v>
      </c>
      <c r="C8" s="81"/>
      <c r="D8" s="81"/>
      <c r="E8" s="81"/>
      <c r="F8" s="81"/>
      <c r="G8" s="1"/>
    </row>
    <row r="9" spans="1:7" ht="28.5" customHeight="1" x14ac:dyDescent="0.25">
      <c r="A9" s="1"/>
      <c r="B9" s="70" t="s">
        <v>98</v>
      </c>
      <c r="C9" s="70"/>
      <c r="D9" s="70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7" t="s">
        <v>3</v>
      </c>
      <c r="G9" s="1"/>
    </row>
    <row r="10" spans="1:7" x14ac:dyDescent="0.25">
      <c r="A10" s="1"/>
      <c r="B10" s="43" t="s">
        <v>109</v>
      </c>
      <c r="C10" s="43"/>
      <c r="D10" s="43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rSF+H/mbrrBffwIFI2vNB0kbqG/vnSxHkbMqIAKYJnY1LBeWJNpzJFYuFH0/wpG1JfOGx+vAJ+/AdBDcbOTIQg==" saltValue="+ZEHzze4JEgFLArmEaTMQ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2019-09-04T11:48:29Z</dcterms:modified>
</cp:coreProperties>
</file>