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sselager-Kolt Vandværk a.m.b.a. (V07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0" i="11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<sst xmlns="http://schemas.openxmlformats.org/spreadsheetml/2006/main" count="422" uniqueCount="163">
  <si>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</si>
  <si>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</si>
  <si>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</si>
  <si>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</si>
  <si>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</si>
  <si>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</si>
  <si>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</si>
  <si>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</si>
  <si>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</si>
  <si>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</si>
  <si>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</si>
  <si>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</si>
  <si>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</si>
  <si>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</si>
  <si>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</si>
  <si>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</si>
  <si>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</si>
  <si>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</si>
  <si>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</si>
  <si>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</si>
  <si>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</si>
  <si>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</si>
  <si>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</si>
  <si>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</si>
  <si>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</si>
  <si>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</si>
  <si>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</si>
  <si>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</si>
  <si>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</si>
  <si>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</si>
  <si>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</si>
  <si>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</si>
  <si>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</si>
  <si>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</si>
  <si>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</si>
  <si>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</si>
  <si>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</si>
  <si>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</si>
  <si>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</si>
  <si>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</si>
  <si>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</si>
  <si>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</si>
  <si>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</si>
  <si>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</si>
  <si>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</si>
  <si>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</si>
  <si>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</si>
  <si>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</si>
  <si>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</si>
  <si>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</si>
  <si>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</si>
  <si>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</si>
  <si>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</si>
  <si>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</si>
  <si>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</si>
  <si>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</si>
  <si>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</si>
  <si>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</si>
  <si>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</si>
  <si>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</si>
  <si>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</si>
  <si>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</si>
  <si>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</si>
  <si>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</si>
  <si>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</si>
  <si>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</si>
  <si>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</si>
  <si>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</si>
  <si>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</si>
  <si>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</si>
  <si>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</si>
  <si>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</si>
  <si>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</si>
  <si>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</si>
  <si>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</si>
  <si>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</si>
  <si>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</si>
  <si>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</si>
  <si>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</si>
  <si>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</si>
  <si>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</si>
  <si>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</si>
  <si>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</si>
  <si>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</si>
  <si>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</si>
  <si>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</si>
  <si>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</si>
  <si>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</si>
  <si>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</si>
  <si>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</si>
  <si>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</si>
  <si>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</si>
  <si>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</si>
  <si>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</si>
  <si>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</si>
  <si>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</si>
  <si>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</si>
  <si>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</si>
  <si>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</si>
  <si>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</si>
  <si>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</si>
  <si>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</si>
  <si>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</si>
  <si>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</si>
  <si>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</si>
  <si>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</si>
  <si>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</si>
  <si>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</si>
  <si>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</si>
  <si>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</si>
  <si>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</si>
  <si>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</si>
  <si>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</si>
  <si>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</si>
  <si>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</si>
  <si>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</si>
  <si>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</si>
  <si>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</si>
  <si>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</si>
  <si>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</si>
  <si>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</si>
  <si>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</si>
  <si>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</si>
  <si>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</si>
  <si>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</si>
  <si>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</si>
  <si>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</si>
  <si>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</si>
  <si>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</si>
  <si>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</si>
  <si>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</si>
  <si>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</si>
  <si>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</si>
  <si>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</si>
  <si>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</si>
  <si>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</si>
  <si>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</si>
  <si>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</si>
  <si>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</si>
  <si>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</si>
  <si>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</si>
  <si>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</si>
  <si>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</si>
  <si>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</si>
  <si>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</si>
  <si>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</si>
  <si>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</si>
  <si>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</si>
  <si>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</si>
  <si>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ydelser og produkter fra andre vandselskaber reguleret af vandsektorloven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</si>
  <si>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</si>
  <si>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</si>
  <si>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</si>
  <si>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</si>
  <si>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</si>
  <si>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</si>
  <si>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</si>
  <si>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</si>
  <si>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</si>
  <si>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</si>
  <si>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Afregningsmålere, elektroniske ≤ Ø 110mm (Qn 10)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</si>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</sst>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2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25">
      <c r="A8" s="1"/>
      <c r="B8" s="1"/>
      <c r="C8" s="4"/>
      <c r="D8" s="66" t="s">
        <v>116</v>
      </c>
      <c r="E8" s="66"/>
      <c r="F8" s="66"/>
      <c r="G8" s="6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49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22</v>
      </c>
      <c r="D14" s="61" t="s">
        <v>117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48</v>
      </c>
      <c r="D15" s="61" t="s">
        <v>75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50</v>
      </c>
      <c r="D16" s="61" t="s">
        <v>76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139</v>
      </c>
      <c r="D17" s="61" t="s">
        <v>57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7</v>
      </c>
      <c r="D18" s="55" t="s">
        <v>16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97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123</v>
      </c>
      <c r="D20" s="49" t="s">
        <v>151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82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124</v>
      </c>
      <c r="D22" s="49" t="s">
        <v>83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125</v>
      </c>
      <c r="D23" s="49" t="s">
        <v>84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52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96</v>
      </c>
      <c r="D25" s="49" t="s">
        <v>53</v>
      </c>
      <c r="E25" s="50"/>
      <c r="F25" s="50"/>
      <c r="G25" s="51"/>
      <c r="H25" s="1"/>
      <c r="I25" s="1"/>
    </row>
    <row r="26" spans="1:9" x14ac:dyDescent="0.25">
      <c r="A26" s="1"/>
      <c r="B26" s="1"/>
      <c r="C26" s="6" t="s">
        <v>126</v>
      </c>
      <c r="D26" s="58" t="s">
        <v>10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</v>
      </c>
      <c r="D27" s="52" t="s">
        <v>127</v>
      </c>
      <c r="E27" s="53"/>
      <c r="F27" s="53"/>
      <c r="G27" s="54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ZMlDXakEiqUQ2RS4oVUrE6xtqAs1HCQU/aia+mrnqPONo/kSg6KANbBreZ+2nwz2Xhg3+57Krl6r7Ym7lFywwQ==" saltValue="7Nk8asimgd8ggU1pPp1wO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155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156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7" t="s">
        <v>2</v>
      </c>
      <c r="F9" s="37" t="s">
        <v>15</v>
      </c>
      <c r="G9" s="37" t="s">
        <v>41</v>
      </c>
      <c r="H9" s="46"/>
      <c r="I9" s="1"/>
    </row>
    <row r="10" spans="1:9" ht="39" x14ac:dyDescent="0.25">
      <c r="A10" s="1"/>
      <c r="B10" s="35" t="s">
        <v>160</v>
      </c>
      <c r="C10" s="36">
        <v>10</v>
      </c>
      <c r="D10" s="8">
        <v>792566</v>
      </c>
      <c r="E10" s="8">
        <f>IFERROR(D10/C10,0)</f>
        <v>79256.600000000006</v>
      </c>
      <c r="F10" s="8">
        <v>0</v>
      </c>
      <c r="G10" s="8">
        <v>0</v>
      </c>
      <c r="H10" s="12" t="s">
        <v>3</v>
      </c>
      <c r="I10" s="1"/>
    </row>
    <row r="11" spans="1:9" x14ac:dyDescent="0.25">
      <c r="A11" s="1"/>
      <c r="B11" s="78" t="s">
        <v>157</v>
      </c>
      <c r="C11" s="79"/>
      <c r="D11" s="80"/>
      <c r="E11" s="10">
        <f>SUM(E10:E10)</f>
        <v>79256.600000000006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MNnaCRW5KRKJApwgx8wQxleitxUJdLnMhIvmP1fMwetQlJw8rnARx9u41xCFrVaBXh+taHxcWNId0NfLrbfow==" saltValue="gsUsNC+EDvRltqzVMf/Lg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120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79</v>
      </c>
      <c r="C8" s="24"/>
      <c r="D8" s="24"/>
      <c r="E8" s="24"/>
      <c r="F8" s="48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161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79256.600000000006</v>
      </c>
      <c r="F10" s="12" t="s">
        <v>3</v>
      </c>
      <c r="G10" s="1"/>
    </row>
    <row r="11" spans="1:7" x14ac:dyDescent="0.25">
      <c r="A11" s="1"/>
      <c r="B11" s="47" t="s">
        <v>54</v>
      </c>
      <c r="C11" s="10">
        <f>SUM(C10:C10)</f>
        <v>0</v>
      </c>
      <c r="D11" s="11" t="s">
        <v>3</v>
      </c>
      <c r="E11" s="10">
        <f>SUM(E10:E10)</f>
        <v>79256.600000000006</v>
      </c>
      <c r="F11" s="11" t="s">
        <v>3</v>
      </c>
      <c r="G11" s="1"/>
    </row>
    <row r="12" spans="1:7" x14ac:dyDescent="0.25">
      <c r="A12" s="1"/>
      <c r="B12" s="47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80817.955020000009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F7fKIt/1McU6pSyJXzq2tyG8EHC9txWE9QrHwdYtyGyJArHNRel54nC4dGM+k/PFGJPdZc8TX6esqLTFBJ94A==" saltValue="2oj0mI5mCtd8mHoW0rMpQ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121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102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6"/>
      <c r="G9" s="1"/>
    </row>
    <row r="10" spans="1:7" x14ac:dyDescent="0.25">
      <c r="A10" s="1"/>
      <c r="B10" s="22" t="s">
        <v>150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7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103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6"/>
      <c r="G16" s="1"/>
    </row>
    <row r="17" spans="1:7" x14ac:dyDescent="0.25">
      <c r="A17" s="1"/>
      <c r="B17" s="22" t="s">
        <v>150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7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104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6"/>
      <c r="G23" s="1"/>
    </row>
    <row r="24" spans="1:7" x14ac:dyDescent="0.25">
      <c r="A24" s="1"/>
      <c r="B24" s="22" t="s">
        <v>150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7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105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6"/>
      <c r="G30" s="1"/>
    </row>
    <row r="31" spans="1:7" x14ac:dyDescent="0.25">
      <c r="A31" s="1"/>
      <c r="B31" s="22" t="s">
        <v>150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7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tP8WmSd0dqcTyKubHm1Be+ZmDwOU18Im1uCgHcQ7KbxdjJ8wgsA/+dOs9dx7LL6bnkXtn9rgPwEJfXfheT2+vg==" saltValue="kCFIK/epei2e3BPLqxWIt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134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33</v>
      </c>
      <c r="C9" s="90" t="s">
        <v>15</v>
      </c>
      <c r="D9" s="91"/>
      <c r="E9" s="90" t="s">
        <v>42</v>
      </c>
      <c r="F9" s="91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w0k++uw1EiReD10ukHn46skoqhz8L3KMmvTQpm3IQeiuQu23XbQT17/MaNO9vxn89xBOnKmDl7t5AcZabQO1g==" saltValue="7dhi6HNg+q+bJWLHur+AT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135</v>
      </c>
      <c r="C3" s="72"/>
      <c r="D3" s="72"/>
      <c r="E3" s="72"/>
      <c r="F3" s="72"/>
      <c r="G3" s="1"/>
    </row>
    <row r="4" spans="1:7" ht="25.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91</v>
      </c>
      <c r="C8" s="79"/>
      <c r="D8" s="79"/>
      <c r="E8" s="79"/>
      <c r="F8" s="80"/>
      <c r="G8" s="1"/>
    </row>
    <row r="9" spans="1:7" ht="15" customHeight="1" x14ac:dyDescent="0.25">
      <c r="A9" s="1"/>
      <c r="B9" s="45" t="s">
        <v>25</v>
      </c>
      <c r="C9" s="45" t="s">
        <v>15</v>
      </c>
      <c r="D9" s="46"/>
      <c r="E9" s="45" t="s">
        <v>42</v>
      </c>
      <c r="F9" s="46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92</v>
      </c>
      <c r="C14" s="79"/>
      <c r="D14" s="79"/>
      <c r="E14" s="79"/>
      <c r="F14" s="80"/>
      <c r="G14" s="1"/>
    </row>
    <row r="15" spans="1:7" ht="26.25" x14ac:dyDescent="0.25">
      <c r="A15" s="1"/>
      <c r="B15" s="45" t="s">
        <v>25</v>
      </c>
      <c r="C15" s="45" t="s">
        <v>15</v>
      </c>
      <c r="D15" s="46"/>
      <c r="E15" s="45" t="s">
        <v>42</v>
      </c>
      <c r="F15" s="46"/>
      <c r="G15" s="1"/>
    </row>
    <row r="16" spans="1:7" x14ac:dyDescent="0.25">
      <c r="A16" s="1"/>
      <c r="B16" s="22" t="s">
        <v>159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90</v>
      </c>
      <c r="C20" s="79"/>
      <c r="D20" s="79"/>
      <c r="E20" s="79"/>
      <c r="F20" s="80"/>
      <c r="G20" s="1"/>
    </row>
    <row r="21" spans="1:7" ht="26.25" x14ac:dyDescent="0.25">
      <c r="A21" s="1"/>
      <c r="B21" s="45" t="s">
        <v>25</v>
      </c>
      <c r="C21" s="45" t="s">
        <v>15</v>
      </c>
      <c r="D21" s="46"/>
      <c r="E21" s="45" t="s">
        <v>42</v>
      </c>
      <c r="F21" s="46"/>
      <c r="G21" s="1"/>
    </row>
    <row r="22" spans="1:7" x14ac:dyDescent="0.25">
      <c r="A22" s="1"/>
      <c r="B22" s="22" t="s">
        <v>159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93</v>
      </c>
      <c r="C26" s="79"/>
      <c r="D26" s="79"/>
      <c r="E26" s="79"/>
      <c r="F26" s="80"/>
      <c r="G26" s="1"/>
    </row>
    <row r="27" spans="1:7" ht="26.25" x14ac:dyDescent="0.25">
      <c r="A27" s="1"/>
      <c r="B27" s="45" t="s">
        <v>25</v>
      </c>
      <c r="C27" s="45" t="s">
        <v>15</v>
      </c>
      <c r="D27" s="46"/>
      <c r="E27" s="45" t="s">
        <v>42</v>
      </c>
      <c r="F27" s="46"/>
      <c r="G27" s="1"/>
    </row>
    <row r="28" spans="1:7" x14ac:dyDescent="0.25">
      <c r="A28" s="1"/>
      <c r="B28" s="22" t="s">
        <v>159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3X4Xexpczy7lVsBifPH/JSnvHz/m/n//Mnt+U+LhlCWyZpAEAPgaGWD3dkYhv4rSuQRRZxpA85bf/VHDN/iWLg==" saltValue="JOq8NnTm7F3c4/p74BRfC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136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92" t="s">
        <v>11</v>
      </c>
      <c r="C9" s="93"/>
      <c r="D9" s="93"/>
      <c r="E9" s="93"/>
      <c r="F9" s="94"/>
      <c r="G9" s="8">
        <v>1747288</v>
      </c>
      <c r="H9" s="12" t="s">
        <v>3</v>
      </c>
      <c r="I9" s="1"/>
    </row>
    <row r="10" spans="1:9" x14ac:dyDescent="0.25">
      <c r="A10" s="1"/>
      <c r="B10" s="92" t="s">
        <v>77</v>
      </c>
      <c r="C10" s="93"/>
      <c r="D10" s="93"/>
      <c r="E10" s="93"/>
      <c r="F10" s="94"/>
      <c r="G10" s="8">
        <v>0</v>
      </c>
      <c r="H10" s="12" t="s">
        <v>3</v>
      </c>
      <c r="I10" s="1"/>
    </row>
    <row r="11" spans="1:9" x14ac:dyDescent="0.25">
      <c r="A11" s="1"/>
      <c r="B11" s="92" t="s">
        <v>69</v>
      </c>
      <c r="C11" s="93"/>
      <c r="D11" s="93"/>
      <c r="E11" s="93"/>
      <c r="F11" s="94"/>
      <c r="G11" s="8">
        <v>-1580665.9629629629</v>
      </c>
      <c r="H11" s="12" t="s">
        <v>3</v>
      </c>
      <c r="I11" s="1"/>
    </row>
    <row r="12" spans="1:9" x14ac:dyDescent="0.25">
      <c r="A12" s="1"/>
      <c r="B12" s="95" t="s">
        <v>14</v>
      </c>
      <c r="C12" s="96"/>
      <c r="D12" s="96"/>
      <c r="E12" s="96"/>
      <c r="F12" s="97"/>
      <c r="G12" s="17">
        <f>(G9+G10)+G11</f>
        <v>166622.03703703708</v>
      </c>
      <c r="H12" s="16" t="s">
        <v>3</v>
      </c>
      <c r="I12" s="1"/>
    </row>
    <row r="13" spans="1:9" x14ac:dyDescent="0.25">
      <c r="A13" s="1"/>
      <c r="B13" s="92" t="s">
        <v>12</v>
      </c>
      <c r="C13" s="93"/>
      <c r="D13" s="93"/>
      <c r="E13" s="93"/>
      <c r="F13" s="94"/>
      <c r="G13" s="8">
        <v>1</v>
      </c>
      <c r="H13" s="12" t="s">
        <v>27</v>
      </c>
      <c r="I13" s="1"/>
    </row>
    <row r="14" spans="1:9" x14ac:dyDescent="0.25">
      <c r="A14" s="1"/>
      <c r="B14" s="78" t="s">
        <v>78</v>
      </c>
      <c r="C14" s="79"/>
      <c r="D14" s="79"/>
      <c r="E14" s="79"/>
      <c r="F14" s="80"/>
      <c r="G14" s="10">
        <f>IF(G13 = 0,0,-G12/G13)</f>
        <v>-166622.03703703708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SqsOD5XFkudsnIYmSL3gwEVGCAdW6ugpbiECKKn+WFpIgegZFBOE3XzTdNKvnhdiGjnczgFP/GStx0e8OsIMg==" saltValue="j3adexCeNIL4Fpueo0Btf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2" t="s">
        <v>137</v>
      </c>
      <c r="C3" s="72"/>
      <c r="D3" s="1"/>
    </row>
    <row r="4" spans="1:4" ht="25.5" customHeight="1" x14ac:dyDescent="0.25">
      <c r="A4" s="1"/>
      <c r="B4" s="72"/>
      <c r="C4" s="7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20</v>
      </c>
      <c r="C8" s="48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7"/>
      <c r="C13" s="4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115</v>
      </c>
      <c r="C16" s="48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8"/>
      <c r="C18" s="9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vMo0YooEZJZoJiJLsE1ZTZvO1TcJ+7l0Sg8fO9WOzcOpIo2WqSM73+tnwHRR241zIlNHvlJUDEzYo/j+wo8Lcw==" saltValue="DQtM1jCpxQBqgUGmRfiMq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56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x14ac:dyDescent="0.25">
      <c r="A9" s="1"/>
      <c r="B9" s="39" t="s">
        <v>35</v>
      </c>
      <c r="C9" s="39"/>
      <c r="D9" s="39"/>
      <c r="E9" s="7">
        <f>'Fane 3. Omkostninger i ØR2019'!E15</f>
        <v>4454155.1546275383</v>
      </c>
      <c r="F9" s="39" t="s">
        <v>3</v>
      </c>
      <c r="G9" s="1"/>
    </row>
    <row r="10" spans="1:7" x14ac:dyDescent="0.25">
      <c r="A10" s="1"/>
      <c r="B10" s="41" t="s">
        <v>140</v>
      </c>
      <c r="C10" s="39"/>
      <c r="D10" s="39"/>
      <c r="E10" s="7">
        <f>'Fane 3. Omkostninger i ØR2019'!E10*(1-'Fane 12. Nøgletal'!C17)*(1+'Fane 12. Nøgletal'!C10)</f>
        <v>0</v>
      </c>
      <c r="F10" s="39" t="s">
        <v>3</v>
      </c>
      <c r="G10" s="1"/>
    </row>
    <row r="11" spans="1:7" x14ac:dyDescent="0.25">
      <c r="A11" s="1"/>
      <c r="B11" s="41" t="s">
        <v>143</v>
      </c>
      <c r="C11" s="39"/>
      <c r="D11" s="39"/>
      <c r="E11" s="7">
        <f>('Fane 3. Omkostninger i ØR2019'!E11+'Fane 3. Omkostninger i ØR2019'!E12)*(1-'Fane 12. Nøgletal'!C17)*(1+'Fane 12. Nøgletal'!C11)</f>
        <v>122156.59412035097</v>
      </c>
      <c r="F11" s="39" t="s">
        <v>3</v>
      </c>
      <c r="G11" s="1"/>
    </row>
    <row r="12" spans="1:7" ht="17.100000000000001" customHeight="1" x14ac:dyDescent="0.25">
      <c r="A12" s="1"/>
      <c r="B12" s="31" t="s">
        <v>141</v>
      </c>
      <c r="C12" s="39"/>
      <c r="D12" s="39"/>
      <c r="E12" s="7">
        <f>'Fane 8.1. Varige tillæg'!C12+'Fane 8.1. Varige tillæg'!E12</f>
        <v>80817.955020000009</v>
      </c>
      <c r="F12" s="39" t="s">
        <v>3</v>
      </c>
      <c r="G12" s="1"/>
    </row>
    <row r="13" spans="1:7" ht="17.100000000000001" customHeight="1" x14ac:dyDescent="0.25">
      <c r="A13" s="1"/>
      <c r="B13" s="31" t="s">
        <v>144</v>
      </c>
      <c r="C13" s="39"/>
      <c r="D13" s="39"/>
      <c r="E13" s="8">
        <f>-('Fane 10. Bortfald'!C12+'Fane 10. Bortfald'!E12)</f>
        <v>0</v>
      </c>
      <c r="F13" s="39" t="s">
        <v>3</v>
      </c>
      <c r="G13" s="1"/>
    </row>
    <row r="14" spans="1:7" ht="17.100000000000001" customHeight="1" x14ac:dyDescent="0.25">
      <c r="A14" s="1"/>
      <c r="B14" s="31" t="s">
        <v>111</v>
      </c>
      <c r="C14" s="39"/>
      <c r="D14" s="39"/>
      <c r="E14" s="8">
        <f>'Fane 9. Tilknyttet aktivitet'!C12+'Fane 9. Tilknyttet aktivitet'!E12</f>
        <v>0</v>
      </c>
      <c r="F14" s="39" t="s">
        <v>3</v>
      </c>
      <c r="G14" s="1"/>
    </row>
    <row r="15" spans="1:7" ht="17.100000000000001" customHeight="1" x14ac:dyDescent="0.25">
      <c r="A15" s="1"/>
      <c r="B15" s="31" t="s">
        <v>26</v>
      </c>
      <c r="C15" s="39"/>
      <c r="D15" s="39"/>
      <c r="E15" s="8">
        <f>(E9-SUM(E10:E11))*'Fane 12. Nøgletal'!C9+E10*'Fane 12. Nøgletal'!C10+E11*'Fane 12. Nøgletal'!C11+SUM(E12:E14)*'Fane 12. Nøgletal'!C12</f>
        <v>58672.941872969219</v>
      </c>
      <c r="F15" s="39" t="s">
        <v>3</v>
      </c>
      <c r="G15" s="1"/>
    </row>
    <row r="16" spans="1:7" ht="17.100000000000001" customHeight="1" x14ac:dyDescent="0.25">
      <c r="A16" s="1"/>
      <c r="B16" s="31" t="s">
        <v>115</v>
      </c>
      <c r="C16" s="39"/>
      <c r="D16" s="39"/>
      <c r="E16" s="8">
        <f>-SUM(E9,E12:E15)*'Fane 12. Nøgletal'!C17</f>
        <v>-78091.98287584864</v>
      </c>
      <c r="F16" s="39" t="s">
        <v>3</v>
      </c>
      <c r="G16" s="1"/>
    </row>
    <row r="17" spans="1:7" ht="17.100000000000001" customHeight="1" x14ac:dyDescent="0.25">
      <c r="A17" s="1"/>
      <c r="B17" s="44" t="s">
        <v>28</v>
      </c>
      <c r="C17" s="42"/>
      <c r="D17" s="42"/>
      <c r="E17" s="9">
        <f>SUM(E9,E12:E16)</f>
        <v>4515554.0686446596</v>
      </c>
      <c r="F17" s="37" t="s">
        <v>3</v>
      </c>
      <c r="G17" s="1"/>
    </row>
    <row r="18" spans="1:7" ht="15" customHeight="1" x14ac:dyDescent="0.25">
      <c r="A18" s="1"/>
      <c r="B18" s="43" t="s">
        <v>16</v>
      </c>
      <c r="C18" s="43"/>
      <c r="D18" s="43"/>
      <c r="E18" s="43"/>
      <c r="F18" s="43"/>
      <c r="G18" s="1"/>
    </row>
    <row r="19" spans="1:7" ht="15" customHeight="1" x14ac:dyDescent="0.25">
      <c r="A19" s="1"/>
      <c r="B19" s="37" t="s">
        <v>16</v>
      </c>
      <c r="C19" s="37"/>
      <c r="D19" s="37"/>
      <c r="E19" s="9">
        <f>'Fane 4. Ikke-påvirkelige omk.'!C14</f>
        <v>2501186.3353689299</v>
      </c>
      <c r="F19" s="37" t="s">
        <v>3</v>
      </c>
      <c r="G19" s="1"/>
    </row>
    <row r="20" spans="1:7" ht="15" customHeight="1" x14ac:dyDescent="0.25">
      <c r="A20" s="1"/>
      <c r="B20" s="43" t="s">
        <v>84</v>
      </c>
      <c r="C20" s="43"/>
      <c r="D20" s="43"/>
      <c r="E20" s="43"/>
      <c r="F20" s="43"/>
      <c r="G20" s="1"/>
    </row>
    <row r="21" spans="1:7" ht="15" customHeight="1" x14ac:dyDescent="0.25">
      <c r="A21" s="1"/>
      <c r="B21" s="31" t="s">
        <v>80</v>
      </c>
      <c r="C21" s="39"/>
      <c r="D21" s="39"/>
      <c r="E21" s="8">
        <f>'Fane 8.2. Engangstillæg'!C13</f>
        <v>0</v>
      </c>
      <c r="F21" s="39" t="s">
        <v>3</v>
      </c>
      <c r="G21" s="1"/>
    </row>
    <row r="22" spans="1:7" ht="15" customHeight="1" x14ac:dyDescent="0.25">
      <c r="A22" s="1"/>
      <c r="B22" s="31" t="s">
        <v>81</v>
      </c>
      <c r="C22" s="39"/>
      <c r="D22" s="39"/>
      <c r="E22" s="8">
        <f>'Fane 8.2. Engangstillæg'!E13</f>
        <v>0</v>
      </c>
      <c r="F22" s="39" t="s">
        <v>3</v>
      </c>
      <c r="G22" s="1"/>
    </row>
    <row r="23" spans="1:7" x14ac:dyDescent="0.25">
      <c r="A23" s="1"/>
      <c r="B23" s="44" t="s">
        <v>85</v>
      </c>
      <c r="C23" s="42"/>
      <c r="D23" s="42"/>
      <c r="E23" s="9">
        <f>SUM(E21:E22)</f>
        <v>0</v>
      </c>
      <c r="F23" s="37" t="s">
        <v>3</v>
      </c>
      <c r="G23" s="1"/>
    </row>
    <row r="24" spans="1:7" x14ac:dyDescent="0.25">
      <c r="A24" s="1"/>
      <c r="B24" s="43" t="s">
        <v>10</v>
      </c>
      <c r="C24" s="43"/>
      <c r="D24" s="43"/>
      <c r="E24" s="43"/>
      <c r="F24" s="43"/>
      <c r="G24" s="1"/>
    </row>
    <row r="25" spans="1:7" ht="15" customHeight="1" x14ac:dyDescent="0.25">
      <c r="A25" s="1"/>
      <c r="B25" s="37" t="s">
        <v>18</v>
      </c>
      <c r="C25" s="37"/>
      <c r="D25" s="37"/>
      <c r="E25" s="9">
        <f>'Fane 11. Hist. over-underdæk.'!G14</f>
        <v>-166622.03703703708</v>
      </c>
      <c r="F25" s="37" t="s">
        <v>3</v>
      </c>
      <c r="G25" s="1"/>
    </row>
    <row r="26" spans="1:7" ht="15" customHeight="1" x14ac:dyDescent="0.25">
      <c r="A26" s="1"/>
      <c r="B26" s="43" t="s">
        <v>151</v>
      </c>
      <c r="C26" s="43"/>
      <c r="D26" s="43"/>
      <c r="E26" s="43"/>
      <c r="F26" s="43"/>
      <c r="G26" s="1"/>
    </row>
    <row r="27" spans="1:7" x14ac:dyDescent="0.25">
      <c r="A27" s="1"/>
      <c r="B27" s="37" t="s">
        <v>152</v>
      </c>
      <c r="C27" s="37"/>
      <c r="D27" s="37"/>
      <c r="E27" s="9">
        <f>'Fane 6. Korrektioner'!E10</f>
        <v>0</v>
      </c>
      <c r="F27" s="37" t="s">
        <v>3</v>
      </c>
      <c r="G27" s="1"/>
    </row>
    <row r="28" spans="1:7" x14ac:dyDescent="0.25">
      <c r="A28" s="1"/>
      <c r="B28" s="43" t="s">
        <v>36</v>
      </c>
      <c r="C28" s="43"/>
      <c r="D28" s="43"/>
      <c r="E28" s="10">
        <f>SUM(E17,E19,E23,E25,E27)</f>
        <v>6850118.3669765517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LYIgLX1eDesmF2x70BiJFt+onJAAlLw6eVHGqYC0IeNVrolU/mBMY/XDePugHHBlW2d37Y63XjyvYCMkqH6QNA==" saltValue="0nK/BhXUP2NfppI2plCjB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73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19</v>
      </c>
      <c r="C8" s="43"/>
      <c r="D8" s="43"/>
      <c r="E8" s="43"/>
      <c r="F8" s="43"/>
      <c r="G8" s="1"/>
    </row>
    <row r="9" spans="1:7" ht="15" customHeight="1" x14ac:dyDescent="0.25">
      <c r="A9" s="1"/>
      <c r="B9" s="39" t="s">
        <v>37</v>
      </c>
      <c r="C9" s="39"/>
      <c r="D9" s="39"/>
      <c r="E9" s="7">
        <f>'Fane 2.1. Økonomisk ramme 2020'!E17</f>
        <v>4515554.0686446596</v>
      </c>
      <c r="F9" s="39" t="s">
        <v>3</v>
      </c>
      <c r="G9" s="1"/>
    </row>
    <row r="10" spans="1:7" ht="15" customHeight="1" x14ac:dyDescent="0.25">
      <c r="A10" s="1"/>
      <c r="B10" s="39" t="s">
        <v>162</v>
      </c>
      <c r="C10" s="39"/>
      <c r="D10" s="39"/>
      <c r="E10" s="7">
        <v>128020.94496981958</v>
      </c>
      <c r="F10" s="39" t="s">
        <v>3</v>
      </c>
      <c r="G10" s="1"/>
    </row>
    <row r="11" spans="1:7" ht="15" customHeight="1" x14ac:dyDescent="0.25">
      <c r="A11" s="1"/>
      <c r="B11" s="31" t="s">
        <v>144</v>
      </c>
      <c r="C11" s="39"/>
      <c r="D11" s="39"/>
      <c r="E11" s="7">
        <f>-('Fane 10. Bortfald'!C18+'Fane 10. Bortfald'!E18)</f>
        <v>0</v>
      </c>
      <c r="F11" s="39" t="s">
        <v>3</v>
      </c>
      <c r="G11" s="1"/>
    </row>
    <row r="12" spans="1:7" ht="15" customHeight="1" x14ac:dyDescent="0.25">
      <c r="A12" s="1"/>
      <c r="B12" s="40" t="s">
        <v>26</v>
      </c>
      <c r="C12" s="39"/>
      <c r="D12" s="39"/>
      <c r="E12" s="8">
        <f>SUM(E9:E11)*'Fane 12. Nøgletal'!C12</f>
        <v>91478.427768205234</v>
      </c>
      <c r="F12" s="39" t="s">
        <v>3</v>
      </c>
      <c r="G12" s="1"/>
    </row>
    <row r="13" spans="1:7" ht="15" customHeight="1" x14ac:dyDescent="0.25">
      <c r="A13" s="1"/>
      <c r="B13" s="40" t="s">
        <v>115</v>
      </c>
      <c r="C13" s="39"/>
      <c r="D13" s="39"/>
      <c r="E13" s="8">
        <f>-SUM(E9:E12)*'Fane 12. Nøgletal'!C17</f>
        <v>-80495.908503505649</v>
      </c>
      <c r="F13" s="39" t="s">
        <v>3</v>
      </c>
      <c r="G13" s="1"/>
    </row>
    <row r="14" spans="1:7" ht="15" customHeight="1" x14ac:dyDescent="0.25">
      <c r="A14" s="1"/>
      <c r="B14" s="42" t="s">
        <v>28</v>
      </c>
      <c r="C14" s="42"/>
      <c r="D14" s="42"/>
      <c r="E14" s="9">
        <f>SUM(E9:E13)</f>
        <v>4654557.5328791793</v>
      </c>
      <c r="F14" s="37" t="s">
        <v>3</v>
      </c>
      <c r="G14" s="1"/>
    </row>
    <row r="15" spans="1:7" x14ac:dyDescent="0.25">
      <c r="A15" s="1"/>
      <c r="B15" s="43" t="s">
        <v>16</v>
      </c>
      <c r="C15" s="43"/>
      <c r="D15" s="43"/>
      <c r="E15" s="43"/>
      <c r="F15" s="43"/>
      <c r="G15" s="1"/>
    </row>
    <row r="16" spans="1:7" ht="15" customHeight="1" x14ac:dyDescent="0.25">
      <c r="A16" s="1"/>
      <c r="B16" s="37" t="s">
        <v>16</v>
      </c>
      <c r="C16" s="37"/>
      <c r="D16" s="37"/>
      <c r="E16" s="9">
        <f>'Fane 4. Ikke-påvirkelige omk.'!C14*(1+'Fane 12. Nøgletal'!C12)</f>
        <v>2550459.706175698</v>
      </c>
      <c r="F16" s="37" t="s">
        <v>3</v>
      </c>
      <c r="G16" s="1"/>
    </row>
    <row r="17" spans="1:7" ht="15" customHeight="1" x14ac:dyDescent="0.25">
      <c r="A17" s="1"/>
      <c r="B17" s="43" t="s">
        <v>84</v>
      </c>
      <c r="C17" s="43"/>
      <c r="D17" s="43"/>
      <c r="E17" s="43"/>
      <c r="F17" s="43"/>
      <c r="G17" s="1"/>
    </row>
    <row r="18" spans="1:7" ht="15" customHeight="1" x14ac:dyDescent="0.25">
      <c r="A18" s="1"/>
      <c r="B18" s="31" t="s">
        <v>80</v>
      </c>
      <c r="C18" s="39"/>
      <c r="D18" s="39"/>
      <c r="E18" s="8">
        <f>'Fane 8.2. Engangstillæg'!C20</f>
        <v>0</v>
      </c>
      <c r="F18" s="39" t="s">
        <v>3</v>
      </c>
      <c r="G18" s="1"/>
    </row>
    <row r="19" spans="1:7" ht="15" customHeight="1" x14ac:dyDescent="0.25">
      <c r="A19" s="1"/>
      <c r="B19" s="31" t="s">
        <v>81</v>
      </c>
      <c r="C19" s="39"/>
      <c r="D19" s="39"/>
      <c r="E19" s="8">
        <f>'Fane 8.2. Engangstillæg'!E20</f>
        <v>0</v>
      </c>
      <c r="F19" s="39" t="s">
        <v>3</v>
      </c>
      <c r="G19" s="1"/>
    </row>
    <row r="20" spans="1:7" ht="15" customHeight="1" x14ac:dyDescent="0.25">
      <c r="A20" s="1"/>
      <c r="B20" s="44" t="s">
        <v>85</v>
      </c>
      <c r="C20" s="42"/>
      <c r="D20" s="42"/>
      <c r="E20" s="9">
        <f>SUM(E18:E19)</f>
        <v>0</v>
      </c>
      <c r="F20" s="37" t="s">
        <v>3</v>
      </c>
      <c r="G20" s="1"/>
    </row>
    <row r="21" spans="1:7" x14ac:dyDescent="0.25">
      <c r="A21" s="1"/>
      <c r="B21" s="43" t="s">
        <v>95</v>
      </c>
      <c r="C21" s="43"/>
      <c r="D21" s="43"/>
      <c r="E21" s="43"/>
      <c r="F21" s="43"/>
      <c r="G21" s="1"/>
    </row>
    <row r="22" spans="1:7" ht="15" customHeight="1" x14ac:dyDescent="0.25">
      <c r="A22" s="1"/>
      <c r="B22" s="37" t="s">
        <v>131</v>
      </c>
      <c r="C22" s="37"/>
      <c r="D22" s="37"/>
      <c r="E22" s="9">
        <f>'Fane 5. Kontrol af ØR2018'!E35</f>
        <v>-693450.64606963028</v>
      </c>
      <c r="F22" s="37" t="s">
        <v>3</v>
      </c>
      <c r="G22" s="1"/>
    </row>
    <row r="23" spans="1:7" x14ac:dyDescent="0.25">
      <c r="A23" s="1"/>
      <c r="B23" s="43" t="s">
        <v>39</v>
      </c>
      <c r="C23" s="43"/>
      <c r="D23" s="43"/>
      <c r="E23" s="10">
        <f>SUM(E14,E16,E20,E22)</f>
        <v>6511566.5929852473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q49n24UA5s8Vhawevit7qsjimjsvwuctOBOLqFyCCFxboPFAEylYlLK+ic1vGwGBNFqZ0xS/RWVv1hcxDJ5IQ==" saltValue="Ch7WZOW0w/QRSwAsTFW8Q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146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37</v>
      </c>
      <c r="C8" s="39"/>
      <c r="D8" s="39"/>
      <c r="E8" s="7">
        <f>'Fane 2.2. Økonomisk ramme 2021'!E14</f>
        <v>4654557.5328791793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Bortfald'!C24+'Fane 10. Bortfald'!E24)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SUM(E8:E9)*'Fane 12. Nøgletal'!C12</f>
        <v>91694.783397719832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-80686.289376707296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4665566.0269001918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Nøgletal'!C12)^2</f>
        <v>2600703.762387359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Engangstillæg'!C27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Engangstillæg'!E27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2.2. Økonomisk ramme 2021'!E22</f>
        <v>-693450.64606963028</v>
      </c>
      <c r="F20" s="37" t="s">
        <v>3</v>
      </c>
      <c r="G20" s="1"/>
    </row>
    <row r="21" spans="1:7" x14ac:dyDescent="0.25">
      <c r="A21" s="1"/>
      <c r="B21" s="43" t="s">
        <v>40</v>
      </c>
      <c r="C21" s="43"/>
      <c r="D21" s="43"/>
      <c r="E21" s="10">
        <f>SUM(E12,E14,E18,E20)</f>
        <v>6572819.1432179203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Nkcl1tc+HFYVgWqgDaUBnl/vTSWALUijoKU8T0yl5EwhQrCHMINjsCrpnb8mA4KSFxmP1v/b1Co7qXnhHoTGw==" saltValue="vdH+2DpgIRaexSQMz6JgW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145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8" t="s">
        <v>29</v>
      </c>
      <c r="C5" s="68"/>
      <c r="D5" s="68"/>
      <c r="E5" s="68"/>
      <c r="F5" s="6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3" t="s">
        <v>19</v>
      </c>
      <c r="C7" s="43"/>
      <c r="D7" s="43"/>
      <c r="E7" s="43"/>
      <c r="F7" s="43"/>
      <c r="G7" s="1"/>
    </row>
    <row r="8" spans="1:7" ht="15" customHeight="1" x14ac:dyDescent="0.25">
      <c r="A8" s="1"/>
      <c r="B8" s="39" t="s">
        <v>38</v>
      </c>
      <c r="C8" s="39"/>
      <c r="D8" s="39"/>
      <c r="E8" s="7">
        <f>'Fane 2.3. Økonomisk ramme 2022'!E12</f>
        <v>4665566.0269001918</v>
      </c>
      <c r="F8" s="39" t="s">
        <v>3</v>
      </c>
      <c r="G8" s="1"/>
    </row>
    <row r="9" spans="1:7" ht="15" customHeight="1" x14ac:dyDescent="0.25">
      <c r="A9" s="1"/>
      <c r="B9" s="39" t="s">
        <v>144</v>
      </c>
      <c r="C9" s="39"/>
      <c r="D9" s="39"/>
      <c r="E9" s="7">
        <f>-('Fane 10. Bortfald'!C30+'Fane 10. Bortfald'!E30)</f>
        <v>0</v>
      </c>
      <c r="F9" s="39" t="s">
        <v>3</v>
      </c>
      <c r="G9" s="1"/>
    </row>
    <row r="10" spans="1:7" ht="15" customHeight="1" x14ac:dyDescent="0.25">
      <c r="A10" s="1"/>
      <c r="B10" s="40" t="s">
        <v>26</v>
      </c>
      <c r="C10" s="39"/>
      <c r="D10" s="39"/>
      <c r="E10" s="8">
        <f>E8*'Fane 12. Nøgletal'!C12</f>
        <v>91911.650729933768</v>
      </c>
      <c r="F10" s="39" t="s">
        <v>3</v>
      </c>
      <c r="G10" s="1"/>
    </row>
    <row r="11" spans="1:7" ht="15" customHeight="1" x14ac:dyDescent="0.25">
      <c r="A11" s="1"/>
      <c r="B11" s="40" t="s">
        <v>115</v>
      </c>
      <c r="C11" s="39"/>
      <c r="D11" s="39"/>
      <c r="E11" s="8">
        <f>-SUM(E8:E10)*'Fane 12. Nøgletal'!C17</f>
        <v>-80877.120519712145</v>
      </c>
      <c r="F11" s="39" t="s">
        <v>3</v>
      </c>
      <c r="G11" s="1"/>
    </row>
    <row r="12" spans="1:7" x14ac:dyDescent="0.25">
      <c r="A12" s="1"/>
      <c r="B12" s="42" t="s">
        <v>28</v>
      </c>
      <c r="C12" s="42"/>
      <c r="D12" s="42"/>
      <c r="E12" s="9">
        <f>SUM(E8:E11)</f>
        <v>4676600.557110413</v>
      </c>
      <c r="F12" s="37" t="s">
        <v>3</v>
      </c>
      <c r="G12" s="1"/>
    </row>
    <row r="13" spans="1:7" x14ac:dyDescent="0.25">
      <c r="A13" s="1"/>
      <c r="B13" s="43" t="s">
        <v>16</v>
      </c>
      <c r="C13" s="43"/>
      <c r="D13" s="43"/>
      <c r="E13" s="43"/>
      <c r="F13" s="43"/>
      <c r="G13" s="1"/>
    </row>
    <row r="14" spans="1:7" ht="15" customHeight="1" x14ac:dyDescent="0.25">
      <c r="A14" s="1"/>
      <c r="B14" s="37" t="s">
        <v>16</v>
      </c>
      <c r="C14" s="37"/>
      <c r="D14" s="37"/>
      <c r="E14" s="9">
        <f>'Fane 4. Ikke-påvirkelige omk.'!C14*(1+'Fane 12. Nøgletal'!C12)^3</f>
        <v>2651937.6265063901</v>
      </c>
      <c r="F14" s="37" t="s">
        <v>3</v>
      </c>
      <c r="G14" s="1"/>
    </row>
    <row r="15" spans="1:7" ht="15" customHeight="1" x14ac:dyDescent="0.25">
      <c r="A15" s="1"/>
      <c r="B15" s="43" t="s">
        <v>84</v>
      </c>
      <c r="C15" s="43"/>
      <c r="D15" s="43"/>
      <c r="E15" s="43"/>
      <c r="F15" s="43"/>
      <c r="G15" s="1"/>
    </row>
    <row r="16" spans="1:7" ht="15" customHeight="1" x14ac:dyDescent="0.25">
      <c r="A16" s="1"/>
      <c r="B16" s="31" t="s">
        <v>80</v>
      </c>
      <c r="C16" s="39"/>
      <c r="D16" s="39"/>
      <c r="E16" s="8">
        <f>'Fane 8.2. Engangstillæg'!C34</f>
        <v>0</v>
      </c>
      <c r="F16" s="39" t="s">
        <v>3</v>
      </c>
      <c r="G16" s="1"/>
    </row>
    <row r="17" spans="1:7" ht="15" customHeight="1" x14ac:dyDescent="0.25">
      <c r="A17" s="1"/>
      <c r="B17" s="31" t="s">
        <v>81</v>
      </c>
      <c r="C17" s="39"/>
      <c r="D17" s="39"/>
      <c r="E17" s="8">
        <f>'Fane 8.2. Engangstillæg'!E34</f>
        <v>0</v>
      </c>
      <c r="F17" s="39" t="s">
        <v>3</v>
      </c>
      <c r="G17" s="1"/>
    </row>
    <row r="18" spans="1:7" ht="15" customHeight="1" x14ac:dyDescent="0.25">
      <c r="A18" s="1"/>
      <c r="B18" s="44" t="s">
        <v>85</v>
      </c>
      <c r="C18" s="42"/>
      <c r="D18" s="42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43" t="s">
        <v>95</v>
      </c>
      <c r="C19" s="43"/>
      <c r="D19" s="43"/>
      <c r="E19" s="43"/>
      <c r="F19" s="43"/>
      <c r="G19" s="1"/>
    </row>
    <row r="20" spans="1:7" ht="15" customHeight="1" x14ac:dyDescent="0.25">
      <c r="A20" s="1"/>
      <c r="B20" s="37" t="s">
        <v>131</v>
      </c>
      <c r="C20" s="37"/>
      <c r="D20" s="37"/>
      <c r="E20" s="9">
        <f>'Fane 2.3. Økonomisk ramme 2022'!E20</f>
        <v>-693450.64606963028</v>
      </c>
      <c r="F20" s="37" t="s">
        <v>3</v>
      </c>
      <c r="G20" s="1"/>
    </row>
    <row r="21" spans="1:7" x14ac:dyDescent="0.25">
      <c r="A21" s="1"/>
      <c r="B21" s="43" t="s">
        <v>89</v>
      </c>
      <c r="C21" s="43"/>
      <c r="D21" s="43"/>
      <c r="E21" s="10">
        <f>SUM(E12,E14,E18,E20)</f>
        <v>6635087.537547173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OMTA4wH+dJObsK+uooN5Pjcs4KBoB2G7xBzWpt+m4x7XLh+H5zECOesYSIHZXlEjnl9nUOxIBEL3gKmq+Fg1A==" saltValue="8aKe6NfaB3I515akHYn+J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138</v>
      </c>
      <c r="C3" s="72"/>
      <c r="D3" s="72"/>
      <c r="E3" s="72"/>
      <c r="F3" s="72"/>
      <c r="G3" s="1"/>
    </row>
    <row r="4" spans="1:7" ht="29.2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72</v>
      </c>
      <c r="C8" s="43"/>
      <c r="D8" s="43"/>
      <c r="E8" s="43"/>
      <c r="F8" s="43"/>
      <c r="G8" s="1"/>
    </row>
    <row r="9" spans="1:7" x14ac:dyDescent="0.25">
      <c r="A9" s="1"/>
      <c r="B9" s="73" t="s">
        <v>70</v>
      </c>
      <c r="C9" s="73"/>
      <c r="D9" s="73"/>
      <c r="E9" s="7">
        <v>4351650.1775439577</v>
      </c>
      <c r="F9" s="39" t="s">
        <v>3</v>
      </c>
      <c r="G9" s="1"/>
    </row>
    <row r="10" spans="1:7" x14ac:dyDescent="0.25">
      <c r="A10" s="1"/>
      <c r="B10" s="75" t="s">
        <v>140</v>
      </c>
      <c r="C10" s="75"/>
      <c r="D10" s="75"/>
      <c r="E10" s="7">
        <v>0</v>
      </c>
      <c r="F10" s="39" t="s">
        <v>3</v>
      </c>
      <c r="G10" s="1"/>
    </row>
    <row r="11" spans="1:7" x14ac:dyDescent="0.25">
      <c r="A11" s="1"/>
      <c r="B11" s="74" t="s">
        <v>141</v>
      </c>
      <c r="C11" s="74"/>
      <c r="D11" s="74"/>
      <c r="E11" s="7">
        <v>122203.92369999998</v>
      </c>
      <c r="F11" s="39" t="s">
        <v>3</v>
      </c>
      <c r="G11" s="1"/>
    </row>
    <row r="12" spans="1:7" x14ac:dyDescent="0.25">
      <c r="A12" s="1"/>
      <c r="B12" s="74" t="s">
        <v>142</v>
      </c>
      <c r="C12" s="74"/>
      <c r="D12" s="74"/>
      <c r="E12" s="8">
        <v>0</v>
      </c>
      <c r="F12" s="39" t="s">
        <v>3</v>
      </c>
      <c r="G12" s="1"/>
    </row>
    <row r="13" spans="1:7" x14ac:dyDescent="0.25">
      <c r="A13" s="1"/>
      <c r="B13" s="74" t="s">
        <v>26</v>
      </c>
      <c r="C13" s="74"/>
      <c r="D13" s="74"/>
      <c r="E13" s="8">
        <f>(SUM(E9:E9)-SUM(E10:E10))*'Fane 12. Nøgletal'!C9+SUM(E10:E10)*'Fane 12. Nøgletal'!C10+SUM(E11:E12)*'Fane 12. Nøgletal'!C11</f>
        <v>57331.203565338255</v>
      </c>
      <c r="F13" s="39" t="s">
        <v>3</v>
      </c>
      <c r="G13" s="1"/>
    </row>
    <row r="14" spans="1:7" x14ac:dyDescent="0.25">
      <c r="A14" s="1"/>
      <c r="B14" s="74" t="s">
        <v>115</v>
      </c>
      <c r="C14" s="74"/>
      <c r="D14" s="74"/>
      <c r="E14" s="8">
        <f>-SUM(E9:E9,E11:E13)*'Fane 12. Nøgletal'!C17</f>
        <v>-77030.150181758043</v>
      </c>
      <c r="F14" s="39" t="s">
        <v>3</v>
      </c>
      <c r="G14" s="1"/>
    </row>
    <row r="15" spans="1:7" x14ac:dyDescent="0.25">
      <c r="A15" s="1"/>
      <c r="B15" s="76" t="s">
        <v>28</v>
      </c>
      <c r="C15" s="76"/>
      <c r="D15" s="76"/>
      <c r="E15" s="9">
        <f>SUM(E9,E11:E14)</f>
        <v>4454155.1546275383</v>
      </c>
      <c r="F15" s="37" t="s">
        <v>3</v>
      </c>
      <c r="G15" s="1"/>
    </row>
    <row r="16" spans="1:7" x14ac:dyDescent="0.25">
      <c r="A16" s="1"/>
      <c r="B16" s="77" t="s">
        <v>16</v>
      </c>
      <c r="C16" s="77"/>
      <c r="D16" s="77"/>
      <c r="E16" s="43"/>
      <c r="F16" s="43"/>
      <c r="G16" s="1"/>
    </row>
    <row r="17" spans="1:7" x14ac:dyDescent="0.25">
      <c r="A17" s="1"/>
      <c r="B17" s="71" t="s">
        <v>16</v>
      </c>
      <c r="C17" s="71"/>
      <c r="D17" s="71"/>
      <c r="E17" s="9">
        <v>2322963.7097903397</v>
      </c>
      <c r="F17" s="37" t="s">
        <v>3</v>
      </c>
      <c r="G17" s="1"/>
    </row>
    <row r="18" spans="1:7" x14ac:dyDescent="0.25">
      <c r="A18" s="1"/>
      <c r="B18" s="43" t="s">
        <v>71</v>
      </c>
      <c r="C18" s="43"/>
      <c r="D18" s="43"/>
      <c r="E18" s="43"/>
      <c r="F18" s="43"/>
      <c r="G18" s="1"/>
    </row>
    <row r="19" spans="1:7" ht="27" customHeight="1" x14ac:dyDescent="0.25">
      <c r="A19" s="1"/>
      <c r="B19" s="70" t="s">
        <v>74</v>
      </c>
      <c r="C19" s="70"/>
      <c r="D19" s="70"/>
      <c r="E19" s="9">
        <v>11674.523207989438</v>
      </c>
      <c r="F19" s="37" t="s">
        <v>3</v>
      </c>
      <c r="G19" s="1"/>
    </row>
    <row r="20" spans="1:7" x14ac:dyDescent="0.25">
      <c r="A20" s="1"/>
      <c r="B20" s="43" t="s">
        <v>10</v>
      </c>
      <c r="C20" s="43"/>
      <c r="D20" s="43"/>
      <c r="E20" s="43"/>
      <c r="F20" s="43"/>
      <c r="G20" s="1"/>
    </row>
    <row r="21" spans="1:7" x14ac:dyDescent="0.25">
      <c r="A21" s="1"/>
      <c r="B21" s="71" t="s">
        <v>18</v>
      </c>
      <c r="C21" s="71"/>
      <c r="D21" s="71"/>
      <c r="E21" s="9">
        <v>-166623</v>
      </c>
      <c r="F21" s="37" t="s">
        <v>3</v>
      </c>
      <c r="G21" s="1"/>
    </row>
    <row r="22" spans="1:7" x14ac:dyDescent="0.25">
      <c r="A22" s="1"/>
      <c r="B22" s="43" t="s">
        <v>23</v>
      </c>
      <c r="C22" s="43"/>
      <c r="D22" s="43"/>
      <c r="E22" s="10">
        <f>SUM(E21,E19,E17,E15)</f>
        <v>6622170.3876258675</v>
      </c>
      <c r="F22" s="11" t="s">
        <v>3</v>
      </c>
      <c r="G22" s="1"/>
    </row>
    <row r="23" spans="1:7" ht="28.5" customHeight="1" x14ac:dyDescent="0.25">
      <c r="A23" s="1"/>
      <c r="B23" s="69" t="s">
        <v>118</v>
      </c>
      <c r="C23" s="69"/>
      <c r="D23" s="69"/>
      <c r="E23" s="69"/>
      <c r="F23" s="69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PRshKWg9MIM2bZT1SWPfmTWlP/QI0cDmCh/D7em5idhRy/7LANJflZXLM50gsQHiqD2MbflYTUKNEqDSwUnkA==" saltValue="ozfSVVwQIGrsx1YqiMW3m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7" t="s">
        <v>110</v>
      </c>
      <c r="C3" s="67"/>
      <c r="D3" s="67"/>
      <c r="E3" s="1"/>
      <c r="F3" s="1"/>
    </row>
    <row r="4" spans="1:6" ht="15" customHeight="1" x14ac:dyDescent="0.25">
      <c r="A4" s="1"/>
      <c r="B4" s="67"/>
      <c r="C4" s="67"/>
      <c r="D4" s="6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58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7" t="s">
        <v>59</v>
      </c>
      <c r="D9" s="37"/>
      <c r="E9" s="1"/>
      <c r="F9" s="1"/>
    </row>
    <row r="10" spans="1:6" x14ac:dyDescent="0.25">
      <c r="A10" s="1"/>
      <c r="B10" s="30" t="s">
        <v>147</v>
      </c>
      <c r="C10" s="8">
        <v>2388629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4620</v>
      </c>
      <c r="D11" s="12" t="s">
        <v>3</v>
      </c>
      <c r="E11" s="1"/>
      <c r="F11" s="1"/>
    </row>
    <row r="12" spans="1:6" ht="26.25" x14ac:dyDescent="0.25">
      <c r="A12" s="1"/>
      <c r="B12" s="34" t="s">
        <v>149</v>
      </c>
      <c r="C12" s="8">
        <v>12228</v>
      </c>
      <c r="D12" s="12" t="s">
        <v>3</v>
      </c>
      <c r="E12" s="1"/>
      <c r="F12" s="1"/>
    </row>
    <row r="13" spans="1:6" x14ac:dyDescent="0.25">
      <c r="A13" s="1"/>
      <c r="B13" s="47" t="s">
        <v>60</v>
      </c>
      <c r="C13" s="10">
        <f>SUM(C10:C12)</f>
        <v>2405477</v>
      </c>
      <c r="D13" s="11" t="s">
        <v>3</v>
      </c>
      <c r="E13" s="1"/>
      <c r="F13" s="1"/>
    </row>
    <row r="14" spans="1:6" x14ac:dyDescent="0.25">
      <c r="A14" s="1"/>
      <c r="B14" s="47" t="s">
        <v>61</v>
      </c>
      <c r="C14" s="10">
        <f>C13*(1+'Fane 12. Nøgletal'!C12)^2</f>
        <v>2501186.3353689299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+XCZclloz6jQvmiRI4Aw/lFJXpbro0AjDptAyn2DiJuzk+O0Cq/vjgSjevOSkaAdog3wWYHE4yuEPOpBfIOwGA==" saltValue="A22Ky2MbToSM49+4SubBc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119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1" t="s">
        <v>47</v>
      </c>
      <c r="C6" s="81"/>
      <c r="D6" s="81"/>
      <c r="E6" s="81"/>
      <c r="F6" s="81"/>
      <c r="G6" s="1"/>
    </row>
    <row r="7" spans="1:7" ht="15" customHeight="1" x14ac:dyDescent="0.25">
      <c r="A7" s="1"/>
      <c r="B7" s="82" t="s">
        <v>45</v>
      </c>
      <c r="C7" s="82"/>
      <c r="D7" s="82"/>
      <c r="E7" s="8">
        <v>-305705.78000000003</v>
      </c>
      <c r="F7" s="12" t="s">
        <v>3</v>
      </c>
      <c r="G7" s="1"/>
    </row>
    <row r="8" spans="1:7" ht="15" customHeight="1" x14ac:dyDescent="0.25">
      <c r="A8" s="1"/>
      <c r="B8" s="82" t="s">
        <v>46</v>
      </c>
      <c r="C8" s="82"/>
      <c r="D8" s="82"/>
      <c r="E8" s="8">
        <v>-0.54545584693551064</v>
      </c>
      <c r="F8" s="12" t="s">
        <v>3</v>
      </c>
      <c r="G8" s="1"/>
    </row>
    <row r="9" spans="1:7" ht="15" customHeight="1" x14ac:dyDescent="0.25">
      <c r="A9" s="1"/>
      <c r="B9" s="84" t="s">
        <v>129</v>
      </c>
      <c r="C9" s="85"/>
      <c r="D9" s="86"/>
      <c r="E9" s="9">
        <f>SUM(E7:E8)</f>
        <v>-305706.32545584696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69" t="s">
        <v>113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99</v>
      </c>
      <c r="C14" s="81"/>
      <c r="D14" s="81"/>
      <c r="E14" s="81"/>
      <c r="F14" s="81"/>
      <c r="G14" s="1"/>
    </row>
    <row r="15" spans="1:7" x14ac:dyDescent="0.25">
      <c r="A15" s="1"/>
      <c r="B15" s="82" t="s">
        <v>100</v>
      </c>
      <c r="C15" s="82"/>
      <c r="D15" s="82"/>
      <c r="E15" s="8">
        <v>5406452.9587099329</v>
      </c>
      <c r="F15" s="12" t="s">
        <v>3</v>
      </c>
      <c r="G15" s="1"/>
    </row>
    <row r="16" spans="1:7" x14ac:dyDescent="0.25">
      <c r="A16" s="1"/>
      <c r="B16" s="82" t="s">
        <v>101</v>
      </c>
      <c r="C16" s="82"/>
      <c r="D16" s="82"/>
      <c r="E16" s="8">
        <v>7263581</v>
      </c>
      <c r="F16" s="12" t="s">
        <v>3</v>
      </c>
      <c r="G16" s="1"/>
    </row>
    <row r="17" spans="1:7" x14ac:dyDescent="0.25">
      <c r="A17" s="1"/>
      <c r="B17" s="82" t="s">
        <v>44</v>
      </c>
      <c r="C17" s="82"/>
      <c r="D17" s="82"/>
      <c r="E17" s="8">
        <v>0</v>
      </c>
      <c r="F17" s="12" t="s">
        <v>3</v>
      </c>
      <c r="G17" s="1"/>
    </row>
    <row r="18" spans="1:7" x14ac:dyDescent="0.25">
      <c r="A18" s="1"/>
      <c r="B18" s="83" t="s">
        <v>130</v>
      </c>
      <c r="C18" s="83"/>
      <c r="D18" s="83"/>
      <c r="E18" s="9">
        <f>E15-(E16-E17)</f>
        <v>-1857128.0412900671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112</v>
      </c>
      <c r="C20" s="69"/>
      <c r="D20" s="69"/>
      <c r="E20" s="69"/>
      <c r="F20" s="6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66</v>
      </c>
      <c r="C23" s="81"/>
      <c r="D23" s="81"/>
      <c r="E23" s="81"/>
      <c r="F23" s="81"/>
      <c r="G23" s="1"/>
    </row>
    <row r="24" spans="1:7" x14ac:dyDescent="0.25">
      <c r="A24" s="1"/>
      <c r="B24" s="82" t="s">
        <v>67</v>
      </c>
      <c r="C24" s="82"/>
      <c r="D24" s="82"/>
      <c r="E24" s="8">
        <v>6532871.7824673932</v>
      </c>
      <c r="F24" s="12" t="s">
        <v>3</v>
      </c>
      <c r="G24" s="1"/>
    </row>
    <row r="25" spans="1:7" x14ac:dyDescent="0.25">
      <c r="A25" s="1"/>
      <c r="B25" s="82" t="s">
        <v>68</v>
      </c>
      <c r="C25" s="82"/>
      <c r="D25" s="82"/>
      <c r="E25" s="8">
        <v>7143840</v>
      </c>
      <c r="F25" s="12" t="s">
        <v>3</v>
      </c>
      <c r="G25" s="1"/>
    </row>
    <row r="26" spans="1:7" x14ac:dyDescent="0.25">
      <c r="A26" s="1"/>
      <c r="B26" s="82" t="s">
        <v>44</v>
      </c>
      <c r="C26" s="82"/>
      <c r="D26" s="82"/>
      <c r="E26" s="8">
        <v>0</v>
      </c>
      <c r="F26" s="12" t="s">
        <v>3</v>
      </c>
      <c r="G26" s="1"/>
    </row>
    <row r="27" spans="1:7" x14ac:dyDescent="0.25">
      <c r="A27" s="1"/>
      <c r="B27" s="83" t="s">
        <v>130</v>
      </c>
      <c r="C27" s="83"/>
      <c r="D27" s="83"/>
      <c r="E27" s="9">
        <f>E24-(E25-E26)</f>
        <v>-610968.2175326068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1" t="s">
        <v>114</v>
      </c>
      <c r="C31" s="81"/>
      <c r="D31" s="81"/>
      <c r="E31" s="81"/>
      <c r="F31" s="81"/>
      <c r="G31" s="1"/>
    </row>
    <row r="32" spans="1:7" x14ac:dyDescent="0.25">
      <c r="A32" s="1"/>
      <c r="B32" s="75" t="s">
        <v>47</v>
      </c>
      <c r="C32" s="75"/>
      <c r="D32" s="75"/>
      <c r="E32" s="8">
        <f>E9</f>
        <v>-305706.32545584696</v>
      </c>
      <c r="F32" s="12" t="s">
        <v>3</v>
      </c>
      <c r="G32" s="1"/>
    </row>
    <row r="33" spans="1:7" x14ac:dyDescent="0.25">
      <c r="A33" s="1"/>
      <c r="B33" s="75" t="s">
        <v>128</v>
      </c>
      <c r="C33" s="75"/>
      <c r="D33" s="75"/>
      <c r="E33" s="8">
        <f>IF(E18+E27&lt;0,E18+E27,0)</f>
        <v>-2468096.2588226739</v>
      </c>
      <c r="F33" s="12" t="s">
        <v>3</v>
      </c>
      <c r="G33" s="1"/>
    </row>
    <row r="34" spans="1:7" x14ac:dyDescent="0.25">
      <c r="A34" s="1"/>
      <c r="B34" s="75" t="s">
        <v>122</v>
      </c>
      <c r="C34" s="75"/>
      <c r="D34" s="75"/>
      <c r="E34" s="8">
        <v>4</v>
      </c>
      <c r="F34" s="12" t="s">
        <v>27</v>
      </c>
      <c r="G34" s="1"/>
    </row>
    <row r="35" spans="1:7" x14ac:dyDescent="0.25">
      <c r="A35" s="1"/>
      <c r="B35" s="83" t="s">
        <v>153</v>
      </c>
      <c r="C35" s="83"/>
      <c r="D35" s="83"/>
      <c r="E35" s="9">
        <f>SUM(E32:E33)/E34</f>
        <v>-693450.64606963028</v>
      </c>
      <c r="F35" s="15" t="s">
        <v>3</v>
      </c>
      <c r="G35" s="1"/>
    </row>
    <row r="36" spans="1:7" x14ac:dyDescent="0.25">
      <c r="A36" s="1"/>
      <c r="B36" s="81"/>
      <c r="C36" s="81"/>
      <c r="D36" s="81"/>
      <c r="E36" s="81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82MrzXDK00x7Q+yCd0pRVxNqR7aDq1vLJegPG1zODlVBew7mk7w9TNUOJ5AK1nlIMqjFFmvH/wrYFOqvrlQ4sA==" saltValue="RgUrXb2nUiieQO1gOKTQk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2" t="s">
        <v>154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1" t="s">
        <v>94</v>
      </c>
      <c r="C8" s="81"/>
      <c r="D8" s="81"/>
      <c r="E8" s="81"/>
      <c r="F8" s="81"/>
      <c r="G8" s="1"/>
    </row>
    <row r="9" spans="1:7" ht="28.5" customHeight="1" x14ac:dyDescent="0.25">
      <c r="A9" s="1"/>
      <c r="B9" s="70" t="s">
        <v>98</v>
      </c>
      <c r="C9" s="70"/>
      <c r="D9" s="70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7" t="s">
        <v>3</v>
      </c>
      <c r="G9" s="1"/>
    </row>
    <row r="10" spans="1:7" x14ac:dyDescent="0.25">
      <c r="A10" s="1"/>
      <c r="B10" s="43" t="s">
        <v>109</v>
      </c>
      <c r="C10" s="43"/>
      <c r="D10" s="43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lMD7pBsVr/AUjd5qsUd9hnBM36b1c8YgeXosQ81trftp2tXY2IZI5dO2Y5dTFtG66rQIKKJEr4NdHqFdMhC9fg==" saltValue="36BfoB+E7cGWSa4oI0WwY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2019-09-04T11:49:02Z</dcterms:modified>
</cp:coreProperties>
</file>