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Langeland Vand ApS (V117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11" l="1"/>
  <c r="E10" i="1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2" i="11"/>
  <c r="C10" i="37" s="1"/>
  <c r="C11" i="37" s="1"/>
  <c r="C12" i="37" s="1"/>
  <c r="G12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2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<sst xmlns="http://schemas.openxmlformats.org/spreadsheetml/2006/main" count="424" uniqueCount="164">
  <si>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</si>
  <si>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</si>
  <si>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</si>
  <si>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</si>
  <si>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</si>
  <si>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</si>
  <si>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</si>
  <si>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</si>
  <si>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</si>
  <si>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</si>
  <si>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</si>
  <si>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</si>
  <si>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</si>
  <si>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</si>
  <si>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</si>
  <si>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</si>
  <si>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</si>
  <si>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</si>
  <si>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</si>
  <si>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</si>
  <si>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</si>
  <si>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</si>
  <si>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</si>
  <si>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</si>
  <si>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</si>
  <si>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</si>
  <si>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</si>
  <si>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</si>
  <si>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</si>
  <si>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</si>
  <si>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</si>
  <si>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</si>
  <si>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</si>
  <si>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</si>
  <si>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</si>
  <si>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</si>
  <si>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</si>
  <si>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</si>
  <si>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</si>
  <si>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</si>
  <si>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</si>
  <si>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</si>
  <si>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</si>
  <si>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</si>
  <si>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</si>
  <si>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</si>
  <si>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</si>
  <si>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</si>
  <si>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</si>
  <si>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</si>
  <si>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</si>
  <si>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</si>
  <si>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</si>
  <si>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</si>
  <si>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</si>
  <si>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</si>
  <si>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</si>
  <si>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</si>
  <si>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</si>
  <si>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</si>
  <si>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</si>
  <si>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</si>
  <si>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</si>
  <si>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</si>
  <si>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</si>
  <si>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</si>
  <si>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</si>
  <si>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</si>
  <si>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</si>
  <si>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</si>
  <si>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</si>
  <si>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</si>
  <si>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</si>
  <si>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</si>
  <si>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</si>
  <si>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</si>
  <si>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</si>
  <si>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</si>
  <si>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</si>
  <si>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</si>
  <si>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</si>
  <si>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</si>
  <si>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</si>
  <si>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</si>
  <si>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</si>
  <si>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</si>
  <si>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</si>
  <si>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</si>
  <si>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</si>
  <si>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</si>
  <si>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</si>
  <si>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</si>
  <si>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</si>
  <si>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</si>
  <si>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</si>
  <si>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</si>
  <si>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</si>
  <si>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</si>
  <si>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</si>
  <si>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</si>
  <si>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</si>
  <si>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</si>
  <si>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</si>
  <si>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</si>
  <si>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</si>
  <si>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</si>
  <si>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</si>
  <si>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</si>
  <si>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</si>
  <si>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</si>
  <si>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</si>
  <si>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</si>
  <si>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</si>
  <si>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</si>
  <si>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</si>
  <si>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</si>
  <si>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</si>
  <si>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</si>
  <si>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</si>
  <si>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</si>
  <si>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</si>
  <si>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</si>
  <si>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</si>
  <si>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</si>
  <si>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</si>
  <si>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</si>
  <si>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</si>
  <si>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</si>
  <si>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</si>
  <si>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</si>
  <si>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</si>
  <si>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</si>
  <si>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</si>
  <si>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</si>
  <si>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</si>
  <si>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</si>
  <si>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</si>
  <si>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</si>
  <si>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</si>
  <si>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</si>
  <si>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</si>
  <si>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</si>
  <si>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</si>
  <si>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</si>
  <si>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</si>
  <si>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</si>
  <si>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</si>
  <si>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</si>
  <si>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</si>
  <si>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Køb af ydelser og produkter fra andre vandselskaber reguleret af vandsektorloven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</si>
  <si>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</si>
  <si>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</si>
  <si>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</si>
  <si>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</si>
  <si>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</si>
  <si>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</si>
  <si>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</si>
  <si>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</si>
  <si>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</si>
  <si>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</si>
  <si>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Pumpestation (inkl. evt. hydrofor)/trykforøger, Konstruktioner</t>
  </si>
  <si>
    <t>Beholderanlæg - vandtårn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</si>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</sst>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4" t="s">
        <v>4</v>
      </c>
      <c r="E6" s="64"/>
      <c r="F6" s="64"/>
      <c r="G6" s="64"/>
      <c r="H6" s="3"/>
      <c r="I6" s="1"/>
    </row>
    <row r="7" spans="1:9" ht="15" customHeight="1" x14ac:dyDescent="0.25">
      <c r="A7" s="1"/>
      <c r="B7" s="1"/>
      <c r="C7" s="3"/>
      <c r="D7" s="64"/>
      <c r="E7" s="64"/>
      <c r="F7" s="64"/>
      <c r="G7" s="64"/>
      <c r="H7" s="3"/>
      <c r="I7" s="1"/>
    </row>
    <row r="8" spans="1:9" ht="15.75" x14ac:dyDescent="0.25">
      <c r="A8" s="1"/>
      <c r="B8" s="1"/>
      <c r="C8" s="4"/>
      <c r="D8" s="66" t="s">
        <v>116</v>
      </c>
      <c r="E8" s="66"/>
      <c r="F8" s="66"/>
      <c r="G8" s="6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1" t="s">
        <v>49</v>
      </c>
      <c r="E13" s="62"/>
      <c r="F13" s="62"/>
      <c r="G13" s="63"/>
      <c r="H13" s="1"/>
      <c r="I13" s="1"/>
    </row>
    <row r="14" spans="1:9" x14ac:dyDescent="0.25">
      <c r="A14" s="1"/>
      <c r="B14" s="1"/>
      <c r="C14" s="6" t="s">
        <v>22</v>
      </c>
      <c r="D14" s="61" t="s">
        <v>117</v>
      </c>
      <c r="E14" s="62"/>
      <c r="F14" s="62"/>
      <c r="G14" s="63"/>
      <c r="H14" s="1"/>
      <c r="I14" s="1"/>
    </row>
    <row r="15" spans="1:9" x14ac:dyDescent="0.25">
      <c r="A15" s="1"/>
      <c r="B15" s="1"/>
      <c r="C15" s="6" t="s">
        <v>48</v>
      </c>
      <c r="D15" s="61" t="s">
        <v>75</v>
      </c>
      <c r="E15" s="62"/>
      <c r="F15" s="62"/>
      <c r="G15" s="63"/>
      <c r="H15" s="1"/>
      <c r="I15" s="1"/>
    </row>
    <row r="16" spans="1:9" x14ac:dyDescent="0.25">
      <c r="A16" s="1"/>
      <c r="B16" s="1"/>
      <c r="C16" s="6" t="s">
        <v>50</v>
      </c>
      <c r="D16" s="61" t="s">
        <v>76</v>
      </c>
      <c r="E16" s="62"/>
      <c r="F16" s="62"/>
      <c r="G16" s="63"/>
      <c r="H16" s="1"/>
      <c r="I16" s="1"/>
    </row>
    <row r="17" spans="1:9" x14ac:dyDescent="0.25">
      <c r="A17" s="1"/>
      <c r="B17" s="1"/>
      <c r="C17" s="6" t="s">
        <v>139</v>
      </c>
      <c r="D17" s="61" t="s">
        <v>57</v>
      </c>
      <c r="E17" s="62"/>
      <c r="F17" s="62"/>
      <c r="G17" s="63"/>
      <c r="H17" s="1"/>
      <c r="I17" s="1"/>
    </row>
    <row r="18" spans="1:9" x14ac:dyDescent="0.25">
      <c r="A18" s="1"/>
      <c r="B18" s="1"/>
      <c r="C18" s="6" t="s">
        <v>7</v>
      </c>
      <c r="D18" s="55" t="s">
        <v>16</v>
      </c>
      <c r="E18" s="56"/>
      <c r="F18" s="56"/>
      <c r="G18" s="57"/>
      <c r="H18" s="1"/>
      <c r="I18" s="1"/>
    </row>
    <row r="19" spans="1:9" x14ac:dyDescent="0.25">
      <c r="A19" s="1"/>
      <c r="B19" s="1"/>
      <c r="C19" s="6" t="s">
        <v>8</v>
      </c>
      <c r="D19" s="49" t="s">
        <v>97</v>
      </c>
      <c r="E19" s="50"/>
      <c r="F19" s="50"/>
      <c r="G19" s="51"/>
      <c r="H19" s="1"/>
      <c r="I19" s="1"/>
    </row>
    <row r="20" spans="1:9" x14ac:dyDescent="0.25">
      <c r="A20" s="1"/>
      <c r="B20" s="1"/>
      <c r="C20" s="6" t="s">
        <v>123</v>
      </c>
      <c r="D20" s="49" t="s">
        <v>151</v>
      </c>
      <c r="E20" s="50"/>
      <c r="F20" s="50"/>
      <c r="G20" s="51"/>
      <c r="H20" s="1"/>
      <c r="I20" s="1"/>
    </row>
    <row r="21" spans="1:9" x14ac:dyDescent="0.25">
      <c r="A21" s="1"/>
      <c r="B21" s="1"/>
      <c r="C21" s="6" t="s">
        <v>82</v>
      </c>
      <c r="D21" s="49" t="s">
        <v>51</v>
      </c>
      <c r="E21" s="50"/>
      <c r="F21" s="50"/>
      <c r="G21" s="51"/>
      <c r="H21" s="1"/>
      <c r="I21" s="1"/>
    </row>
    <row r="22" spans="1:9" x14ac:dyDescent="0.25">
      <c r="A22" s="1"/>
      <c r="B22" s="1"/>
      <c r="C22" s="6" t="s">
        <v>124</v>
      </c>
      <c r="D22" s="49" t="s">
        <v>83</v>
      </c>
      <c r="E22" s="50"/>
      <c r="F22" s="50"/>
      <c r="G22" s="51"/>
      <c r="H22" s="1"/>
      <c r="I22" s="1"/>
    </row>
    <row r="23" spans="1:9" x14ac:dyDescent="0.25">
      <c r="A23" s="1"/>
      <c r="B23" s="1"/>
      <c r="C23" s="6" t="s">
        <v>125</v>
      </c>
      <c r="D23" s="49" t="s">
        <v>84</v>
      </c>
      <c r="E23" s="50"/>
      <c r="F23" s="50"/>
      <c r="G23" s="51"/>
      <c r="H23" s="1"/>
      <c r="I23" s="1"/>
    </row>
    <row r="24" spans="1:9" x14ac:dyDescent="0.25">
      <c r="A24" s="1"/>
      <c r="B24" s="1"/>
      <c r="C24" s="6" t="s">
        <v>9</v>
      </c>
      <c r="D24" s="49" t="s">
        <v>52</v>
      </c>
      <c r="E24" s="50"/>
      <c r="F24" s="50"/>
      <c r="G24" s="51"/>
      <c r="H24" s="1"/>
      <c r="I24" s="1"/>
    </row>
    <row r="25" spans="1:9" x14ac:dyDescent="0.25">
      <c r="A25" s="1"/>
      <c r="B25" s="1"/>
      <c r="C25" s="6" t="s">
        <v>96</v>
      </c>
      <c r="D25" s="49" t="s">
        <v>53</v>
      </c>
      <c r="E25" s="50"/>
      <c r="F25" s="50"/>
      <c r="G25" s="51"/>
      <c r="H25" s="1"/>
      <c r="I25" s="1"/>
    </row>
    <row r="26" spans="1:9" x14ac:dyDescent="0.25">
      <c r="A26" s="1"/>
      <c r="B26" s="1"/>
      <c r="C26" s="6" t="s">
        <v>126</v>
      </c>
      <c r="D26" s="58" t="s">
        <v>10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21</v>
      </c>
      <c r="D27" s="52" t="s">
        <v>127</v>
      </c>
      <c r="E27" s="53"/>
      <c r="F27" s="53"/>
      <c r="G27" s="54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Jqd9qel7Js69Vpk/glgYFJLFUzAB2DNtHQbNCdi9BmLae5HxO9svPBvMtI7w76R+biT4W8VAdD/Jdhw8rlhs8Q==" saltValue="qTMLI1XglLpEKS/tOBrklA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155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156</v>
      </c>
      <c r="C8" s="79"/>
      <c r="D8" s="79"/>
      <c r="E8" s="79"/>
      <c r="F8" s="79"/>
      <c r="G8" s="79"/>
      <c r="H8" s="80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7" t="s">
        <v>2</v>
      </c>
      <c r="F9" s="37" t="s">
        <v>15</v>
      </c>
      <c r="G9" s="37" t="s">
        <v>41</v>
      </c>
      <c r="H9" s="46"/>
      <c r="I9" s="1"/>
    </row>
    <row r="10" spans="1:9" x14ac:dyDescent="0.25">
      <c r="A10" s="1"/>
      <c r="B10" s="35" t="s">
        <v>161</v>
      </c>
      <c r="C10" s="36">
        <v>50</v>
      </c>
      <c r="D10" s="8">
        <v>93925</v>
      </c>
      <c r="E10" s="8">
        <f>IFERROR(D10/C10,0)</f>
        <v>1878.5</v>
      </c>
      <c r="F10" s="8">
        <v>0</v>
      </c>
      <c r="G10" s="8">
        <v>0</v>
      </c>
      <c r="H10" s="12" t="s">
        <v>3</v>
      </c>
      <c r="I10" s="1"/>
    </row>
    <row r="11" spans="1:9" ht="39" x14ac:dyDescent="0.25">
      <c r="A11" s="1"/>
      <c r="B11" s="35" t="s">
        <v>160</v>
      </c>
      <c r="C11" s="36">
        <v>50</v>
      </c>
      <c r="D11" s="8">
        <v>781062</v>
      </c>
      <c r="E11" s="8">
        <f t="shared" ref="E11" si="0">IFERROR(D11/C11,0)</f>
        <v>15621.24</v>
      </c>
      <c r="F11" s="8">
        <v>0</v>
      </c>
      <c r="G11" s="8">
        <v>0</v>
      </c>
      <c r="H11" s="12" t="s">
        <v>3</v>
      </c>
      <c r="I11" s="1"/>
    </row>
    <row r="12" spans="1:9" x14ac:dyDescent="0.25">
      <c r="A12" s="1"/>
      <c r="B12" s="78" t="s">
        <v>157</v>
      </c>
      <c r="C12" s="79"/>
      <c r="D12" s="80"/>
      <c r="E12" s="10">
        <f>SUM(E10:E11)</f>
        <v>17499.739999999998</v>
      </c>
      <c r="F12" s="10">
        <f>SUM(F10:F11)</f>
        <v>0</v>
      </c>
      <c r="G12" s="10">
        <f>SUM(G10:G11)</f>
        <v>0</v>
      </c>
      <c r="H12" s="11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oMy+3HuAu62NXnaKYyrGmgZqLxiT2uUfGrlC9nqsV2WbzAj9mYVOwBY3tMBHByCfkvKKHM220lAjjodvFwIZJw==" saltValue="yd/cHRMRb3zTZ0jkeNHR6A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120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7" t="s">
        <v>79</v>
      </c>
      <c r="C8" s="24"/>
      <c r="D8" s="24"/>
      <c r="E8" s="24"/>
      <c r="F8" s="48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162</v>
      </c>
      <c r="C10" s="21">
        <f>'Fane 7. Anlægsprojekter'!F12</f>
        <v>0</v>
      </c>
      <c r="D10" s="12" t="s">
        <v>3</v>
      </c>
      <c r="E10" s="8">
        <f>SUM('Fane 7. Anlægsprojekter'!E12,'Fane 7. Anlægsprojekter'!G12)</f>
        <v>17499.739999999998</v>
      </c>
      <c r="F10" s="12" t="s">
        <v>3</v>
      </c>
      <c r="G10" s="1"/>
    </row>
    <row r="11" spans="1:7" x14ac:dyDescent="0.25">
      <c r="A11" s="1"/>
      <c r="B11" s="47" t="s">
        <v>54</v>
      </c>
      <c r="C11" s="10">
        <f>SUM(C10:C10)</f>
        <v>0</v>
      </c>
      <c r="D11" s="11" t="s">
        <v>3</v>
      </c>
      <c r="E11" s="10">
        <f>SUM(E10:E10)</f>
        <v>17499.739999999998</v>
      </c>
      <c r="F11" s="11" t="s">
        <v>3</v>
      </c>
      <c r="G11" s="1"/>
    </row>
    <row r="12" spans="1:7" x14ac:dyDescent="0.25">
      <c r="A12" s="1"/>
      <c r="B12" s="47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17844.484877999999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QnZSJISNmZLv5lUyhlEkxjexAVJnES8mkZXqH7KBNrWkv2xJjcM8NEZm8aIJclLHgkAaLw0Y6b2uEa9GlK/WTw==" saltValue="VuI543qdk0rlHSzJMOXzq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121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102</v>
      </c>
      <c r="C8" s="79"/>
      <c r="D8" s="79"/>
      <c r="E8" s="79"/>
      <c r="F8" s="80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150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7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8" t="s">
        <v>103</v>
      </c>
      <c r="C15" s="79"/>
      <c r="D15" s="79"/>
      <c r="E15" s="79"/>
      <c r="F15" s="80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6"/>
      <c r="G16" s="1"/>
    </row>
    <row r="17" spans="1:7" x14ac:dyDescent="0.25">
      <c r="A17" s="1"/>
      <c r="B17" s="22" t="s">
        <v>150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7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7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8" t="s">
        <v>104</v>
      </c>
      <c r="C22" s="79"/>
      <c r="D22" s="79"/>
      <c r="E22" s="79"/>
      <c r="F22" s="80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6"/>
      <c r="G23" s="1"/>
    </row>
    <row r="24" spans="1:7" x14ac:dyDescent="0.25">
      <c r="A24" s="1"/>
      <c r="B24" s="22" t="s">
        <v>150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7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7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8" t="s">
        <v>105</v>
      </c>
      <c r="C29" s="79"/>
      <c r="D29" s="79"/>
      <c r="E29" s="79"/>
      <c r="F29" s="80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6"/>
      <c r="G30" s="1"/>
    </row>
    <row r="31" spans="1:7" x14ac:dyDescent="0.25">
      <c r="A31" s="1"/>
      <c r="B31" s="22" t="s">
        <v>150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7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7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NUsb+EvmSU8W7UCaGpxtzeVBvrZ3DhK/Cq7skYVK8GU8Bf0Li2b7WLRk22G3Tl15j99JcJPB40/aPgbh5n4swQ==" saltValue="laXJSpytXcmp5bCzJV2PN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134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32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33</v>
      </c>
      <c r="C9" s="90" t="s">
        <v>15</v>
      </c>
      <c r="D9" s="91"/>
      <c r="E9" s="90" t="s">
        <v>42</v>
      </c>
      <c r="F9" s="91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Phe946SQFEUtrR5l6BKEs8MFZUou4ooICVdZHAaM4wIE47hAWMbifaGy0atgbLEbJBSOJDWq5aThk5kdru08zg==" saltValue="D8u9mSKpoAFC4Ks0YFD29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135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91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25</v>
      </c>
      <c r="C9" s="45" t="s">
        <v>15</v>
      </c>
      <c r="D9" s="46"/>
      <c r="E9" s="45" t="s">
        <v>42</v>
      </c>
      <c r="F9" s="46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92</v>
      </c>
      <c r="C14" s="79"/>
      <c r="D14" s="79"/>
      <c r="E14" s="79"/>
      <c r="F14" s="80"/>
      <c r="G14" s="1"/>
    </row>
    <row r="15" spans="1:7" ht="26.25" x14ac:dyDescent="0.25">
      <c r="A15" s="1"/>
      <c r="B15" s="45" t="s">
        <v>25</v>
      </c>
      <c r="C15" s="45" t="s">
        <v>15</v>
      </c>
      <c r="D15" s="46"/>
      <c r="E15" s="45" t="s">
        <v>42</v>
      </c>
      <c r="F15" s="46"/>
      <c r="G15" s="1"/>
    </row>
    <row r="16" spans="1:7" x14ac:dyDescent="0.25">
      <c r="A16" s="1"/>
      <c r="B16" s="22" t="s">
        <v>159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7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7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8" t="s">
        <v>90</v>
      </c>
      <c r="C20" s="79"/>
      <c r="D20" s="79"/>
      <c r="E20" s="79"/>
      <c r="F20" s="80"/>
      <c r="G20" s="1"/>
    </row>
    <row r="21" spans="1:7" ht="26.25" x14ac:dyDescent="0.25">
      <c r="A21" s="1"/>
      <c r="B21" s="45" t="s">
        <v>25</v>
      </c>
      <c r="C21" s="45" t="s">
        <v>15</v>
      </c>
      <c r="D21" s="46"/>
      <c r="E21" s="45" t="s">
        <v>42</v>
      </c>
      <c r="F21" s="46"/>
      <c r="G21" s="1"/>
    </row>
    <row r="22" spans="1:7" x14ac:dyDescent="0.25">
      <c r="A22" s="1"/>
      <c r="B22" s="22" t="s">
        <v>159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7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7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8" t="s">
        <v>93</v>
      </c>
      <c r="C26" s="79"/>
      <c r="D26" s="79"/>
      <c r="E26" s="79"/>
      <c r="F26" s="80"/>
      <c r="G26" s="1"/>
    </row>
    <row r="27" spans="1:7" ht="26.25" x14ac:dyDescent="0.25">
      <c r="A27" s="1"/>
      <c r="B27" s="45" t="s">
        <v>25</v>
      </c>
      <c r="C27" s="45" t="s">
        <v>15</v>
      </c>
      <c r="D27" s="46"/>
      <c r="E27" s="45" t="s">
        <v>42</v>
      </c>
      <c r="F27" s="46"/>
      <c r="G27" s="1"/>
    </row>
    <row r="28" spans="1:7" x14ac:dyDescent="0.25">
      <c r="A28" s="1"/>
      <c r="B28" s="22" t="s">
        <v>159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7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7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s60F8VtuJIbVC6NmWe18J7AKwFHakLjkUMFAe1Q/plxlnOX91F0wu6flrVYOTqUtIFrfeoY6+cQm9pHM4fxwdg==" saltValue="6EZOn9pxVIZW9QCTtteFz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136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17</v>
      </c>
      <c r="C8" s="79"/>
      <c r="D8" s="79"/>
      <c r="E8" s="79"/>
      <c r="F8" s="79"/>
      <c r="G8" s="79"/>
      <c r="H8" s="80"/>
      <c r="I8" s="1"/>
    </row>
    <row r="9" spans="1:9" x14ac:dyDescent="0.25">
      <c r="A9" s="1"/>
      <c r="B9" s="92" t="s">
        <v>11</v>
      </c>
      <c r="C9" s="93"/>
      <c r="D9" s="93"/>
      <c r="E9" s="93"/>
      <c r="F9" s="94"/>
      <c r="G9" s="8">
        <v>11498918</v>
      </c>
      <c r="H9" s="12" t="s">
        <v>3</v>
      </c>
      <c r="I9" s="1"/>
    </row>
    <row r="10" spans="1:9" x14ac:dyDescent="0.25">
      <c r="A10" s="1"/>
      <c r="B10" s="92" t="s">
        <v>77</v>
      </c>
      <c r="C10" s="93"/>
      <c r="D10" s="93"/>
      <c r="E10" s="93"/>
      <c r="F10" s="94"/>
      <c r="G10" s="8">
        <v>0</v>
      </c>
      <c r="H10" s="12" t="s">
        <v>3</v>
      </c>
      <c r="I10" s="1"/>
    </row>
    <row r="11" spans="1:9" x14ac:dyDescent="0.25">
      <c r="A11" s="1"/>
      <c r="B11" s="92" t="s">
        <v>69</v>
      </c>
      <c r="C11" s="93"/>
      <c r="D11" s="93"/>
      <c r="E11" s="93"/>
      <c r="F11" s="94"/>
      <c r="G11" s="8">
        <v>-10328959.243386243</v>
      </c>
      <c r="H11" s="12" t="s">
        <v>3</v>
      </c>
      <c r="I11" s="1"/>
    </row>
    <row r="12" spans="1:9" x14ac:dyDescent="0.25">
      <c r="A12" s="1"/>
      <c r="B12" s="95" t="s">
        <v>14</v>
      </c>
      <c r="C12" s="96"/>
      <c r="D12" s="96"/>
      <c r="E12" s="96"/>
      <c r="F12" s="97"/>
      <c r="G12" s="17">
        <f>(G9+G10)+G11</f>
        <v>1169958.7566137575</v>
      </c>
      <c r="H12" s="16" t="s">
        <v>3</v>
      </c>
      <c r="I12" s="1"/>
    </row>
    <row r="13" spans="1:9" x14ac:dyDescent="0.25">
      <c r="A13" s="1"/>
      <c r="B13" s="92" t="s">
        <v>12</v>
      </c>
      <c r="C13" s="93"/>
      <c r="D13" s="93"/>
      <c r="E13" s="93"/>
      <c r="F13" s="94"/>
      <c r="G13" s="8">
        <v>1</v>
      </c>
      <c r="H13" s="12" t="s">
        <v>27</v>
      </c>
      <c r="I13" s="1"/>
    </row>
    <row r="14" spans="1:9" x14ac:dyDescent="0.25">
      <c r="A14" s="1"/>
      <c r="B14" s="78" t="s">
        <v>78</v>
      </c>
      <c r="C14" s="79"/>
      <c r="D14" s="79"/>
      <c r="E14" s="79"/>
      <c r="F14" s="80"/>
      <c r="G14" s="10">
        <f>IF(G13 = 0,0,-G12/G13)</f>
        <v>-1169958.7566137575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xp7/nTn/H5du9XYeIgPC0/1NWshSpotFfQgJbFaB9XE3EmPLRKhmDr5ia2M7B12dxIVzxS0x9ScWMcbqwZfVgA==" saltValue="6v+3w0dsveTLhIzjc7ptu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2" t="s">
        <v>137</v>
      </c>
      <c r="C3" s="72"/>
      <c r="D3" s="1"/>
    </row>
    <row r="4" spans="1:4" ht="25.5" customHeight="1" x14ac:dyDescent="0.25">
      <c r="A4" s="1"/>
      <c r="B4" s="72"/>
      <c r="C4" s="7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7" t="s">
        <v>20</v>
      </c>
      <c r="C8" s="48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7"/>
      <c r="C13" s="48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7" t="s">
        <v>115</v>
      </c>
      <c r="C16" s="48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8"/>
      <c r="C18" s="99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t1+dkrQ6bQNiBbrqjzsGKrEX87YaNHD3yf7QS/DOZfjFCEg0Q6VT8TDoRBl1EKXLk+ARBEu+bxA+9ky+k0SSJQ==" saltValue="dRLomq0YHyopOqIS2+Pulg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56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x14ac:dyDescent="0.25">
      <c r="A9" s="1"/>
      <c r="B9" s="39" t="s">
        <v>35</v>
      </c>
      <c r="C9" s="39"/>
      <c r="D9" s="39"/>
      <c r="E9" s="7">
        <f>'Fane 3. Omkostninger i ØR2019'!E15</f>
        <v>10435980.612629052</v>
      </c>
      <c r="F9" s="39" t="s">
        <v>3</v>
      </c>
      <c r="G9" s="1"/>
    </row>
    <row r="10" spans="1:7" x14ac:dyDescent="0.25">
      <c r="A10" s="1"/>
      <c r="B10" s="41" t="s">
        <v>140</v>
      </c>
      <c r="C10" s="39"/>
      <c r="D10" s="39"/>
      <c r="E10" s="7">
        <f>'Fane 3. Omkostninger i ØR2019'!E10*(1-'Fane 12. Nøgletal'!C17)*(1+'Fane 12. Nøgletal'!C10)</f>
        <v>0</v>
      </c>
      <c r="F10" s="39" t="s">
        <v>3</v>
      </c>
      <c r="G10" s="1"/>
    </row>
    <row r="11" spans="1:7" x14ac:dyDescent="0.25">
      <c r="A11" s="1"/>
      <c r="B11" s="41" t="s">
        <v>143</v>
      </c>
      <c r="C11" s="39"/>
      <c r="D11" s="39"/>
      <c r="E11" s="7">
        <f>('Fane 3. Omkostninger i ØR2019'!E11+'Fane 3. Omkostninger i ØR2019'!E12)*(1-'Fane 12. Nøgletal'!C17)*(1+'Fane 12. Nøgletal'!C11)</f>
        <v>59896.608655418109</v>
      </c>
      <c r="F11" s="39" t="s">
        <v>3</v>
      </c>
      <c r="G11" s="1"/>
    </row>
    <row r="12" spans="1:7" ht="17.100000000000001" customHeight="1" x14ac:dyDescent="0.25">
      <c r="A12" s="1"/>
      <c r="B12" s="31" t="s">
        <v>141</v>
      </c>
      <c r="C12" s="39"/>
      <c r="D12" s="39"/>
      <c r="E12" s="7">
        <f>'Fane 8.1. Varige tillæg'!C12+'Fane 8.1. Varige tillæg'!E12</f>
        <v>17844.484877999999</v>
      </c>
      <c r="F12" s="39" t="s">
        <v>3</v>
      </c>
      <c r="G12" s="1"/>
    </row>
    <row r="13" spans="1:7" ht="17.100000000000001" customHeight="1" x14ac:dyDescent="0.25">
      <c r="A13" s="1"/>
      <c r="B13" s="31" t="s">
        <v>144</v>
      </c>
      <c r="C13" s="39"/>
      <c r="D13" s="39"/>
      <c r="E13" s="8">
        <f>-('Fane 10. Bortfald'!C12+'Fane 10. Bortfald'!E12)</f>
        <v>0</v>
      </c>
      <c r="F13" s="39" t="s">
        <v>3</v>
      </c>
      <c r="G13" s="1"/>
    </row>
    <row r="14" spans="1:7" ht="17.100000000000001" customHeight="1" x14ac:dyDescent="0.25">
      <c r="A14" s="1"/>
      <c r="B14" s="31" t="s">
        <v>111</v>
      </c>
      <c r="C14" s="39"/>
      <c r="D14" s="39"/>
      <c r="E14" s="8">
        <f>'Fane 9. Tilknyttet aktivitet'!C12+'Fane 9. Tilknyttet aktivitet'!E12</f>
        <v>0</v>
      </c>
      <c r="F14" s="39" t="s">
        <v>3</v>
      </c>
      <c r="G14" s="1"/>
    </row>
    <row r="15" spans="1:7" ht="17.100000000000001" customHeight="1" x14ac:dyDescent="0.25">
      <c r="A15" s="1"/>
      <c r="B15" s="31" t="s">
        <v>26</v>
      </c>
      <c r="C15" s="39"/>
      <c r="D15" s="39"/>
      <c r="E15" s="8">
        <f>(E9-SUM(E10:E11))*'Fane 12. Nøgletal'!C9+E10*'Fane 12. Nøgletal'!C10+E11*'Fane 12. Nøgletal'!C11+SUM(E12:E14)*'Fane 12. Nøgletal'!C12</f>
        <v>133140.05588883831</v>
      </c>
      <c r="F15" s="39" t="s">
        <v>3</v>
      </c>
      <c r="G15" s="1"/>
    </row>
    <row r="16" spans="1:7" ht="17.100000000000001" customHeight="1" x14ac:dyDescent="0.25">
      <c r="A16" s="1"/>
      <c r="B16" s="31" t="s">
        <v>115</v>
      </c>
      <c r="C16" s="39"/>
      <c r="D16" s="39"/>
      <c r="E16" s="8">
        <f>-SUM(E9,E12:E15)*'Fane 12. Nøgletal'!C17</f>
        <v>-179978.40760773016</v>
      </c>
      <c r="F16" s="39" t="s">
        <v>3</v>
      </c>
      <c r="G16" s="1"/>
    </row>
    <row r="17" spans="1:7" ht="17.100000000000001" customHeight="1" x14ac:dyDescent="0.25">
      <c r="A17" s="1"/>
      <c r="B17" s="44" t="s">
        <v>28</v>
      </c>
      <c r="C17" s="42"/>
      <c r="D17" s="42"/>
      <c r="E17" s="9">
        <f>SUM(E9,E12:E16)</f>
        <v>10406986.745788161</v>
      </c>
      <c r="F17" s="37" t="s">
        <v>3</v>
      </c>
      <c r="G17" s="1"/>
    </row>
    <row r="18" spans="1:7" ht="15" customHeight="1" x14ac:dyDescent="0.25">
      <c r="A18" s="1"/>
      <c r="B18" s="43" t="s">
        <v>16</v>
      </c>
      <c r="C18" s="43"/>
      <c r="D18" s="43"/>
      <c r="E18" s="43"/>
      <c r="F18" s="43"/>
      <c r="G18" s="1"/>
    </row>
    <row r="19" spans="1:7" ht="15" customHeight="1" x14ac:dyDescent="0.25">
      <c r="A19" s="1"/>
      <c r="B19" s="37" t="s">
        <v>16</v>
      </c>
      <c r="C19" s="37"/>
      <c r="D19" s="37"/>
      <c r="E19" s="9">
        <f>'Fane 4. Ikke-påvirkelige omk.'!C14</f>
        <v>5115456.9040419906</v>
      </c>
      <c r="F19" s="37" t="s">
        <v>3</v>
      </c>
      <c r="G19" s="1"/>
    </row>
    <row r="20" spans="1:7" ht="15" customHeight="1" x14ac:dyDescent="0.25">
      <c r="A20" s="1"/>
      <c r="B20" s="43" t="s">
        <v>84</v>
      </c>
      <c r="C20" s="43"/>
      <c r="D20" s="43"/>
      <c r="E20" s="43"/>
      <c r="F20" s="43"/>
      <c r="G20" s="1"/>
    </row>
    <row r="21" spans="1:7" ht="15" customHeight="1" x14ac:dyDescent="0.25">
      <c r="A21" s="1"/>
      <c r="B21" s="31" t="s">
        <v>80</v>
      </c>
      <c r="C21" s="39"/>
      <c r="D21" s="39"/>
      <c r="E21" s="8">
        <f>'Fane 8.2. Engangstillæg'!C13</f>
        <v>0</v>
      </c>
      <c r="F21" s="39" t="s">
        <v>3</v>
      </c>
      <c r="G21" s="1"/>
    </row>
    <row r="22" spans="1:7" ht="15" customHeight="1" x14ac:dyDescent="0.25">
      <c r="A22" s="1"/>
      <c r="B22" s="31" t="s">
        <v>81</v>
      </c>
      <c r="C22" s="39"/>
      <c r="D22" s="39"/>
      <c r="E22" s="8">
        <f>'Fane 8.2. Engangstillæg'!E13</f>
        <v>0</v>
      </c>
      <c r="F22" s="39" t="s">
        <v>3</v>
      </c>
      <c r="G22" s="1"/>
    </row>
    <row r="23" spans="1:7" x14ac:dyDescent="0.25">
      <c r="A23" s="1"/>
      <c r="B23" s="44" t="s">
        <v>85</v>
      </c>
      <c r="C23" s="42"/>
      <c r="D23" s="42"/>
      <c r="E23" s="9">
        <f>SUM(E21:E22)</f>
        <v>0</v>
      </c>
      <c r="F23" s="37" t="s">
        <v>3</v>
      </c>
      <c r="G23" s="1"/>
    </row>
    <row r="24" spans="1:7" x14ac:dyDescent="0.25">
      <c r="A24" s="1"/>
      <c r="B24" s="43" t="s">
        <v>10</v>
      </c>
      <c r="C24" s="43"/>
      <c r="D24" s="43"/>
      <c r="E24" s="43"/>
      <c r="F24" s="43"/>
      <c r="G24" s="1"/>
    </row>
    <row r="25" spans="1:7" ht="15" customHeight="1" x14ac:dyDescent="0.25">
      <c r="A25" s="1"/>
      <c r="B25" s="37" t="s">
        <v>18</v>
      </c>
      <c r="C25" s="37"/>
      <c r="D25" s="37"/>
      <c r="E25" s="9">
        <f>'Fane 11. Hist. over-underdæk.'!G14</f>
        <v>-1169958.7566137575</v>
      </c>
      <c r="F25" s="37" t="s">
        <v>3</v>
      </c>
      <c r="G25" s="1"/>
    </row>
    <row r="26" spans="1:7" ht="15" customHeight="1" x14ac:dyDescent="0.25">
      <c r="A26" s="1"/>
      <c r="B26" s="43" t="s">
        <v>151</v>
      </c>
      <c r="C26" s="43"/>
      <c r="D26" s="43"/>
      <c r="E26" s="43"/>
      <c r="F26" s="43"/>
      <c r="G26" s="1"/>
    </row>
    <row r="27" spans="1:7" x14ac:dyDescent="0.25">
      <c r="A27" s="1"/>
      <c r="B27" s="37" t="s">
        <v>152</v>
      </c>
      <c r="C27" s="37"/>
      <c r="D27" s="37"/>
      <c r="E27" s="9">
        <f>'Fane 6. Korrektioner'!E10</f>
        <v>0</v>
      </c>
      <c r="F27" s="37" t="s">
        <v>3</v>
      </c>
      <c r="G27" s="1"/>
    </row>
    <row r="28" spans="1:7" x14ac:dyDescent="0.25">
      <c r="A28" s="1"/>
      <c r="B28" s="43" t="s">
        <v>36</v>
      </c>
      <c r="C28" s="43"/>
      <c r="D28" s="43"/>
      <c r="E28" s="10">
        <f>SUM(E17,E19,E23,E25,E27)</f>
        <v>14352484.893216394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rRIr4RuUGTVlGKCm49ncIQGjQtSMuOysbnJBaPV5nSSj9JDzeNst+RD1bkVnOPenh/QRl109pU8PPactKYqXog==" saltValue="fMJaaiNoSQWFGpya0/RXR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73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ht="15" customHeight="1" x14ac:dyDescent="0.25">
      <c r="A9" s="1"/>
      <c r="B9" s="39" t="s">
        <v>37</v>
      </c>
      <c r="C9" s="39"/>
      <c r="D9" s="39"/>
      <c r="E9" s="7">
        <f>'Fane 2.1. Økonomisk ramme 2020'!E17</f>
        <v>10406986.745788161</v>
      </c>
      <c r="F9" s="39" t="s">
        <v>3</v>
      </c>
      <c r="G9" s="1"/>
    </row>
    <row r="10" spans="1:7" ht="15" customHeight="1" x14ac:dyDescent="0.25">
      <c r="A10" s="1"/>
      <c r="B10" s="39" t="s">
        <v>163</v>
      </c>
      <c r="C10" s="39"/>
      <c r="D10" s="39"/>
      <c r="E10" s="7">
        <v>68704.393143301306</v>
      </c>
      <c r="F10" s="39" t="s">
        <v>3</v>
      </c>
      <c r="G10" s="1"/>
    </row>
    <row r="11" spans="1:7" ht="15" customHeight="1" x14ac:dyDescent="0.25">
      <c r="A11" s="1"/>
      <c r="B11" s="31" t="s">
        <v>144</v>
      </c>
      <c r="C11" s="39"/>
      <c r="D11" s="39"/>
      <c r="E11" s="7">
        <f>-('Fane 10. Bortfald'!C18+'Fane 10. Bortfald'!E18)</f>
        <v>0</v>
      </c>
      <c r="F11" s="39" t="s">
        <v>3</v>
      </c>
      <c r="G11" s="1"/>
    </row>
    <row r="12" spans="1:7" ht="15" customHeight="1" x14ac:dyDescent="0.25">
      <c r="A12" s="1"/>
      <c r="B12" s="40" t="s">
        <v>26</v>
      </c>
      <c r="C12" s="39"/>
      <c r="D12" s="39"/>
      <c r="E12" s="8">
        <f>SUM(E9:E11)*'Fane 12. Nøgletal'!C12</f>
        <v>206371.1154369498</v>
      </c>
      <c r="F12" s="39" t="s">
        <v>3</v>
      </c>
      <c r="G12" s="1"/>
    </row>
    <row r="13" spans="1:7" ht="15" customHeight="1" x14ac:dyDescent="0.25">
      <c r="A13" s="1"/>
      <c r="B13" s="40" t="s">
        <v>115</v>
      </c>
      <c r="C13" s="39"/>
      <c r="D13" s="39"/>
      <c r="E13" s="8">
        <f>-SUM(E9:E12)*'Fane 12. Nøgletal'!C17</f>
        <v>-181595.05832426302</v>
      </c>
      <c r="F13" s="39" t="s">
        <v>3</v>
      </c>
      <c r="G13" s="1"/>
    </row>
    <row r="14" spans="1:7" ht="15" customHeight="1" x14ac:dyDescent="0.25">
      <c r="A14" s="1"/>
      <c r="B14" s="42" t="s">
        <v>28</v>
      </c>
      <c r="C14" s="42"/>
      <c r="D14" s="42"/>
      <c r="E14" s="9">
        <f>SUM(E9:E13)</f>
        <v>10500467.196044151</v>
      </c>
      <c r="F14" s="37" t="s">
        <v>3</v>
      </c>
      <c r="G14" s="1"/>
    </row>
    <row r="15" spans="1:7" x14ac:dyDescent="0.25">
      <c r="A15" s="1"/>
      <c r="B15" s="43" t="s">
        <v>16</v>
      </c>
      <c r="C15" s="43"/>
      <c r="D15" s="43"/>
      <c r="E15" s="43"/>
      <c r="F15" s="43"/>
      <c r="G15" s="1"/>
    </row>
    <row r="16" spans="1:7" ht="15" customHeight="1" x14ac:dyDescent="0.25">
      <c r="A16" s="1"/>
      <c r="B16" s="37" t="s">
        <v>16</v>
      </c>
      <c r="C16" s="37"/>
      <c r="D16" s="37"/>
      <c r="E16" s="9">
        <f>'Fane 4. Ikke-påvirkelige omk.'!C14*(1+'Fane 12. Nøgletal'!C12)</f>
        <v>5216231.4050516179</v>
      </c>
      <c r="F16" s="37" t="s">
        <v>3</v>
      </c>
      <c r="G16" s="1"/>
    </row>
    <row r="17" spans="1:7" ht="15" customHeight="1" x14ac:dyDescent="0.25">
      <c r="A17" s="1"/>
      <c r="B17" s="43" t="s">
        <v>84</v>
      </c>
      <c r="C17" s="43"/>
      <c r="D17" s="43"/>
      <c r="E17" s="43"/>
      <c r="F17" s="43"/>
      <c r="G17" s="1"/>
    </row>
    <row r="18" spans="1:7" ht="15" customHeight="1" x14ac:dyDescent="0.25">
      <c r="A18" s="1"/>
      <c r="B18" s="31" t="s">
        <v>80</v>
      </c>
      <c r="C18" s="39"/>
      <c r="D18" s="39"/>
      <c r="E18" s="8">
        <f>'Fane 8.2. Engangstillæg'!C20</f>
        <v>0</v>
      </c>
      <c r="F18" s="39" t="s">
        <v>3</v>
      </c>
      <c r="G18" s="1"/>
    </row>
    <row r="19" spans="1:7" ht="15" customHeight="1" x14ac:dyDescent="0.25">
      <c r="A19" s="1"/>
      <c r="B19" s="31" t="s">
        <v>81</v>
      </c>
      <c r="C19" s="39"/>
      <c r="D19" s="39"/>
      <c r="E19" s="8">
        <f>'Fane 8.2. Engangstillæg'!E20</f>
        <v>0</v>
      </c>
      <c r="F19" s="39" t="s">
        <v>3</v>
      </c>
      <c r="G19" s="1"/>
    </row>
    <row r="20" spans="1:7" ht="15" customHeight="1" x14ac:dyDescent="0.25">
      <c r="A20" s="1"/>
      <c r="B20" s="44" t="s">
        <v>85</v>
      </c>
      <c r="C20" s="42"/>
      <c r="D20" s="42"/>
      <c r="E20" s="9">
        <f>SUM(E18:E19)</f>
        <v>0</v>
      </c>
      <c r="F20" s="37" t="s">
        <v>3</v>
      </c>
      <c r="G20" s="1"/>
    </row>
    <row r="21" spans="1:7" x14ac:dyDescent="0.25">
      <c r="A21" s="1"/>
      <c r="B21" s="43" t="s">
        <v>95</v>
      </c>
      <c r="C21" s="43"/>
      <c r="D21" s="43"/>
      <c r="E21" s="43"/>
      <c r="F21" s="43"/>
      <c r="G21" s="1"/>
    </row>
    <row r="22" spans="1:7" ht="15" customHeight="1" x14ac:dyDescent="0.25">
      <c r="A22" s="1"/>
      <c r="B22" s="37" t="s">
        <v>131</v>
      </c>
      <c r="C22" s="37"/>
      <c r="D22" s="37"/>
      <c r="E22" s="9">
        <f>'Fane 5. Kontrol af ØR2018'!E35</f>
        <v>-56264.561328566677</v>
      </c>
      <c r="F22" s="37" t="s">
        <v>3</v>
      </c>
      <c r="G22" s="1"/>
    </row>
    <row r="23" spans="1:7" x14ac:dyDescent="0.25">
      <c r="A23" s="1"/>
      <c r="B23" s="43" t="s">
        <v>39</v>
      </c>
      <c r="C23" s="43"/>
      <c r="D23" s="43"/>
      <c r="E23" s="10">
        <f>SUM(E14,E16,E20,E22)</f>
        <v>15660434.039767202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DJP1hrbyMeYi4u2DIHm1QFJaeZmEtU0ZV20oEofm/qkTC3WY7v/HGQf6Af9+l4UUyTssAyB+DUmdwlDougn2JQ==" saltValue="SwHAmr/kyq3VAuXZ6/2Ag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37</v>
      </c>
      <c r="C8" s="39"/>
      <c r="D8" s="39"/>
      <c r="E8" s="7">
        <f>'Fane 2.2. Økonomisk ramme 2021'!E14</f>
        <v>10500467.196044151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Bortfald'!C24+'Fane 10. Bortfald'!E24)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SUM(E8:E9)*'Fane 12. Nøgletal'!C12</f>
        <v>206859.20376206975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-182024.54879670576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10525301.851009514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omk.'!C14*(1+'Fane 12. Nøgletal'!C12)^2</f>
        <v>5318991.1637311354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Engangstillæg'!C27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Engangstillæg'!E27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2.2. Økonomisk ramme 2021'!E22</f>
        <v>-56264.561328566677</v>
      </c>
      <c r="F20" s="37" t="s">
        <v>3</v>
      </c>
      <c r="G20" s="1"/>
    </row>
    <row r="21" spans="1:7" x14ac:dyDescent="0.25">
      <c r="A21" s="1"/>
      <c r="B21" s="43" t="s">
        <v>40</v>
      </c>
      <c r="C21" s="43"/>
      <c r="D21" s="43"/>
      <c r="E21" s="10">
        <f>SUM(E12,E14,E18,E20)</f>
        <v>15788028.453412082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76KWUZr6PnVMsxbGjTGCTztwKkbPc+AB+cia4sZUAA9zJH/66trnsN3wOY4BOK1CVbhYHHpB2mXbVeJ1t7uFNw==" saltValue="dYUAzKVtQFMjQ1cSDni3P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145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38</v>
      </c>
      <c r="C8" s="39"/>
      <c r="D8" s="39"/>
      <c r="E8" s="7">
        <f>'Fane 2.3. Økonomisk ramme 2022'!E12</f>
        <v>10525301.851009514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Bortfald'!C30+'Fane 10. Bortfald'!E30)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E8*'Fane 12. Nøgletal'!C12</f>
        <v>207348.44646488741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-182455.05505706483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10550195.242417336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omk.'!C14*(1+'Fane 12. Nøgletal'!C12)^3</f>
        <v>5423775.2896566382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Engangstillæg'!C34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Engangstillæg'!E34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2.3. Økonomisk ramme 2022'!E20</f>
        <v>-56264.561328566677</v>
      </c>
      <c r="F20" s="37" t="s">
        <v>3</v>
      </c>
      <c r="G20" s="1"/>
    </row>
    <row r="21" spans="1:7" x14ac:dyDescent="0.25">
      <c r="A21" s="1"/>
      <c r="B21" s="43" t="s">
        <v>89</v>
      </c>
      <c r="C21" s="43"/>
      <c r="D21" s="43"/>
      <c r="E21" s="10">
        <f>SUM(E12,E14,E18,E20)</f>
        <v>15917705.970745407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4EDfc2ZH5hY6mj4iP7CdJR6BcDde+kpXAEJbIwQDGtE4rcMiJch6sfq6eunx4I3REsFeV4tGz03PPvyFrRIJQQ==" saltValue="MIikMdlQVsfcGBeNc8LOQ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138</v>
      </c>
      <c r="C3" s="72"/>
      <c r="D3" s="72"/>
      <c r="E3" s="72"/>
      <c r="F3" s="72"/>
      <c r="G3" s="1"/>
    </row>
    <row r="4" spans="1:7" ht="29.2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72</v>
      </c>
      <c r="C8" s="43"/>
      <c r="D8" s="43"/>
      <c r="E8" s="43"/>
      <c r="F8" s="43"/>
      <c r="G8" s="1"/>
    </row>
    <row r="9" spans="1:7" x14ac:dyDescent="0.25">
      <c r="A9" s="1"/>
      <c r="B9" s="73" t="s">
        <v>70</v>
      </c>
      <c r="C9" s="73"/>
      <c r="D9" s="73"/>
      <c r="E9" s="7">
        <v>10423153.924782559</v>
      </c>
      <c r="F9" s="39" t="s">
        <v>3</v>
      </c>
      <c r="G9" s="1"/>
    </row>
    <row r="10" spans="1:7" x14ac:dyDescent="0.25">
      <c r="A10" s="1"/>
      <c r="B10" s="75" t="s">
        <v>140</v>
      </c>
      <c r="C10" s="75"/>
      <c r="D10" s="75"/>
      <c r="E10" s="7">
        <v>0</v>
      </c>
      <c r="F10" s="39" t="s">
        <v>3</v>
      </c>
      <c r="G10" s="1"/>
    </row>
    <row r="11" spans="1:7" x14ac:dyDescent="0.25">
      <c r="A11" s="1"/>
      <c r="B11" s="74" t="s">
        <v>141</v>
      </c>
      <c r="C11" s="74"/>
      <c r="D11" s="74"/>
      <c r="E11" s="7">
        <v>59919.815599999994</v>
      </c>
      <c r="F11" s="39" t="s">
        <v>3</v>
      </c>
      <c r="G11" s="1"/>
    </row>
    <row r="12" spans="1:7" x14ac:dyDescent="0.25">
      <c r="A12" s="1"/>
      <c r="B12" s="74" t="s">
        <v>142</v>
      </c>
      <c r="C12" s="74"/>
      <c r="D12" s="74"/>
      <c r="E12" s="8">
        <v>0</v>
      </c>
      <c r="F12" s="39" t="s">
        <v>3</v>
      </c>
      <c r="G12" s="1"/>
    </row>
    <row r="13" spans="1:7" x14ac:dyDescent="0.25">
      <c r="A13" s="1"/>
      <c r="B13" s="74" t="s">
        <v>26</v>
      </c>
      <c r="C13" s="74"/>
      <c r="D13" s="74"/>
      <c r="E13" s="8">
        <f>(SUM(E9:E9)-SUM(E10:E10))*'Fane 12. Nøgletal'!C9+SUM(E10:E10)*'Fane 12. Nøgletal'!C10+SUM(E11:E12)*'Fane 12. Nøgletal'!C11</f>
        <v>133386.6997283785</v>
      </c>
      <c r="F13" s="39" t="s">
        <v>3</v>
      </c>
      <c r="G13" s="1"/>
    </row>
    <row r="14" spans="1:7" x14ac:dyDescent="0.25">
      <c r="A14" s="1"/>
      <c r="B14" s="74" t="s">
        <v>115</v>
      </c>
      <c r="C14" s="74"/>
      <c r="D14" s="74"/>
      <c r="E14" s="8">
        <f>-SUM(E9:E9,E11:E13)*'Fane 12. Nøgletal'!C17</f>
        <v>-180479.82748188596</v>
      </c>
      <c r="F14" s="39" t="s">
        <v>3</v>
      </c>
      <c r="G14" s="1"/>
    </row>
    <row r="15" spans="1:7" x14ac:dyDescent="0.25">
      <c r="A15" s="1"/>
      <c r="B15" s="76" t="s">
        <v>28</v>
      </c>
      <c r="C15" s="76"/>
      <c r="D15" s="76"/>
      <c r="E15" s="9">
        <f>SUM(E9,E11:E14)</f>
        <v>10435980.612629052</v>
      </c>
      <c r="F15" s="37" t="s">
        <v>3</v>
      </c>
      <c r="G15" s="1"/>
    </row>
    <row r="16" spans="1:7" x14ac:dyDescent="0.25">
      <c r="A16" s="1"/>
      <c r="B16" s="77" t="s">
        <v>16</v>
      </c>
      <c r="C16" s="77"/>
      <c r="D16" s="77"/>
      <c r="E16" s="43"/>
      <c r="F16" s="43"/>
      <c r="G16" s="1"/>
    </row>
    <row r="17" spans="1:7" x14ac:dyDescent="0.25">
      <c r="A17" s="1"/>
      <c r="B17" s="71" t="s">
        <v>16</v>
      </c>
      <c r="C17" s="71"/>
      <c r="D17" s="71"/>
      <c r="E17" s="9">
        <v>5216763.3580128793</v>
      </c>
      <c r="F17" s="37" t="s">
        <v>3</v>
      </c>
      <c r="G17" s="1"/>
    </row>
    <row r="18" spans="1:7" x14ac:dyDescent="0.25">
      <c r="A18" s="1"/>
      <c r="B18" s="43" t="s">
        <v>71</v>
      </c>
      <c r="C18" s="43"/>
      <c r="D18" s="43"/>
      <c r="E18" s="43"/>
      <c r="F18" s="43"/>
      <c r="G18" s="1"/>
    </row>
    <row r="19" spans="1:7" ht="27" customHeight="1" x14ac:dyDescent="0.25">
      <c r="A19" s="1"/>
      <c r="B19" s="70" t="s">
        <v>74</v>
      </c>
      <c r="C19" s="70"/>
      <c r="D19" s="70"/>
      <c r="E19" s="9">
        <v>25622.08700356906</v>
      </c>
      <c r="F19" s="37" t="s">
        <v>3</v>
      </c>
      <c r="G19" s="1"/>
    </row>
    <row r="20" spans="1:7" x14ac:dyDescent="0.25">
      <c r="A20" s="1"/>
      <c r="B20" s="43" t="s">
        <v>10</v>
      </c>
      <c r="C20" s="43"/>
      <c r="D20" s="43"/>
      <c r="E20" s="43"/>
      <c r="F20" s="43"/>
      <c r="G20" s="1"/>
    </row>
    <row r="21" spans="1:7" x14ac:dyDescent="0.25">
      <c r="A21" s="1"/>
      <c r="B21" s="71" t="s">
        <v>18</v>
      </c>
      <c r="C21" s="71"/>
      <c r="D21" s="71"/>
      <c r="E21" s="9">
        <v>-1169959</v>
      </c>
      <c r="F21" s="37" t="s">
        <v>3</v>
      </c>
      <c r="G21" s="1"/>
    </row>
    <row r="22" spans="1:7" x14ac:dyDescent="0.25">
      <c r="A22" s="1"/>
      <c r="B22" s="43" t="s">
        <v>23</v>
      </c>
      <c r="C22" s="43"/>
      <c r="D22" s="43"/>
      <c r="E22" s="10">
        <f>SUM(E21,E19,E17,E15)</f>
        <v>14508407.0576455</v>
      </c>
      <c r="F22" s="11" t="s">
        <v>3</v>
      </c>
      <c r="G22" s="1"/>
    </row>
    <row r="23" spans="1:7" ht="28.5" customHeight="1" x14ac:dyDescent="0.25">
      <c r="A23" s="1"/>
      <c r="B23" s="69" t="s">
        <v>118</v>
      </c>
      <c r="C23" s="69"/>
      <c r="D23" s="69"/>
      <c r="E23" s="69"/>
      <c r="F23" s="69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VHKFH6Ex8d0whJb/IRKABJJCgBcrb/IGzdGPp21YuglRdHA/d19+dd8loRvwd6PP2WyhZ6KxxFUvKfdSKgV9Q==" saltValue="BZyyKvHxGxyk+HP8n06dA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7" t="s">
        <v>110</v>
      </c>
      <c r="C3" s="67"/>
      <c r="D3" s="67"/>
      <c r="E3" s="1"/>
      <c r="F3" s="1"/>
    </row>
    <row r="4" spans="1:6" ht="15" customHeight="1" x14ac:dyDescent="0.25">
      <c r="A4" s="1"/>
      <c r="B4" s="67"/>
      <c r="C4" s="67"/>
      <c r="D4" s="6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8" t="s">
        <v>58</v>
      </c>
      <c r="C8" s="79"/>
      <c r="D8" s="80"/>
      <c r="E8" s="1"/>
      <c r="F8" s="1"/>
    </row>
    <row r="9" spans="1:6" ht="15" customHeight="1" x14ac:dyDescent="0.25">
      <c r="A9" s="1"/>
      <c r="B9" s="19" t="s">
        <v>43</v>
      </c>
      <c r="C9" s="37" t="s">
        <v>59</v>
      </c>
      <c r="D9" s="37"/>
      <c r="E9" s="1"/>
      <c r="F9" s="1"/>
    </row>
    <row r="10" spans="1:6" x14ac:dyDescent="0.25">
      <c r="A10" s="1"/>
      <c r="B10" s="30" t="s">
        <v>147</v>
      </c>
      <c r="C10" s="8">
        <v>4828173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10229</v>
      </c>
      <c r="D11" s="12" t="s">
        <v>3</v>
      </c>
      <c r="E11" s="1"/>
      <c r="F11" s="1"/>
    </row>
    <row r="12" spans="1:6" ht="26.25" x14ac:dyDescent="0.25">
      <c r="A12" s="1"/>
      <c r="B12" s="34" t="s">
        <v>149</v>
      </c>
      <c r="C12" s="8">
        <v>81309</v>
      </c>
      <c r="D12" s="12" t="s">
        <v>3</v>
      </c>
      <c r="E12" s="1"/>
      <c r="F12" s="1"/>
    </row>
    <row r="13" spans="1:6" x14ac:dyDescent="0.25">
      <c r="A13" s="1"/>
      <c r="B13" s="47" t="s">
        <v>60</v>
      </c>
      <c r="C13" s="10">
        <f>SUM(C10:C12)</f>
        <v>4919711</v>
      </c>
      <c r="D13" s="11" t="s">
        <v>3</v>
      </c>
      <c r="E13" s="1"/>
      <c r="F13" s="1"/>
    </row>
    <row r="14" spans="1:6" x14ac:dyDescent="0.25">
      <c r="A14" s="1"/>
      <c r="B14" s="47" t="s">
        <v>61</v>
      </c>
      <c r="C14" s="10">
        <f>C13*(1+'Fane 12. Nøgletal'!C12)^2</f>
        <v>5115456.9040419906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ismM2m5tTV5f7CgsAUvIZSIL6WAmlXONsVL8yTvKa+W6xX7IdZoEWAOy4YH3Py9AxeFUCnyai9xJRgBs6AQokQ==" saltValue="I8lDS6VVA5cciYEvVIY+M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119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1" t="s">
        <v>47</v>
      </c>
      <c r="C6" s="81"/>
      <c r="D6" s="81"/>
      <c r="E6" s="81"/>
      <c r="F6" s="81"/>
      <c r="G6" s="1"/>
    </row>
    <row r="7" spans="1:7" ht="15" customHeight="1" x14ac:dyDescent="0.25">
      <c r="A7" s="1"/>
      <c r="B7" s="82" t="s">
        <v>45</v>
      </c>
      <c r="C7" s="82"/>
      <c r="D7" s="82"/>
      <c r="E7" s="8">
        <v>364546.71953333338</v>
      </c>
      <c r="F7" s="12" t="s">
        <v>3</v>
      </c>
      <c r="G7" s="1"/>
    </row>
    <row r="8" spans="1:7" ht="15" customHeight="1" x14ac:dyDescent="0.25">
      <c r="A8" s="1"/>
      <c r="B8" s="82" t="s">
        <v>46</v>
      </c>
      <c r="C8" s="82"/>
      <c r="D8" s="82"/>
      <c r="E8" s="8">
        <v>-589604.96484760009</v>
      </c>
      <c r="F8" s="12" t="s">
        <v>3</v>
      </c>
      <c r="G8" s="1"/>
    </row>
    <row r="9" spans="1:7" ht="15" customHeight="1" x14ac:dyDescent="0.25">
      <c r="A9" s="1"/>
      <c r="B9" s="84" t="s">
        <v>129</v>
      </c>
      <c r="C9" s="85"/>
      <c r="D9" s="86"/>
      <c r="E9" s="9">
        <f>SUM(E7:E8)</f>
        <v>-225058.24531426671</v>
      </c>
      <c r="F9" s="15" t="s">
        <v>3</v>
      </c>
      <c r="G9" s="1"/>
    </row>
    <row r="10" spans="1:7" ht="15" customHeight="1" x14ac:dyDescent="0.25">
      <c r="A10" s="1"/>
      <c r="B10" s="78"/>
      <c r="C10" s="79"/>
      <c r="D10" s="79"/>
      <c r="E10" s="79"/>
      <c r="F10" s="80"/>
      <c r="G10" s="1"/>
    </row>
    <row r="11" spans="1:7" ht="27" customHeight="1" x14ac:dyDescent="0.25">
      <c r="A11" s="1"/>
      <c r="B11" s="69" t="s">
        <v>113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99</v>
      </c>
      <c r="C14" s="81"/>
      <c r="D14" s="81"/>
      <c r="E14" s="81"/>
      <c r="F14" s="81"/>
      <c r="G14" s="1"/>
    </row>
    <row r="15" spans="1:7" x14ac:dyDescent="0.25">
      <c r="A15" s="1"/>
      <c r="B15" s="82" t="s">
        <v>100</v>
      </c>
      <c r="C15" s="82"/>
      <c r="D15" s="82"/>
      <c r="E15" s="8">
        <v>14890075.70880314</v>
      </c>
      <c r="F15" s="12" t="s">
        <v>3</v>
      </c>
      <c r="G15" s="1"/>
    </row>
    <row r="16" spans="1:7" x14ac:dyDescent="0.25">
      <c r="A16" s="1"/>
      <c r="B16" s="82" t="s">
        <v>101</v>
      </c>
      <c r="C16" s="82"/>
      <c r="D16" s="82"/>
      <c r="E16" s="8">
        <v>13104848</v>
      </c>
      <c r="F16" s="12" t="s">
        <v>3</v>
      </c>
      <c r="G16" s="1"/>
    </row>
    <row r="17" spans="1:7" x14ac:dyDescent="0.25">
      <c r="A17" s="1"/>
      <c r="B17" s="82" t="s">
        <v>44</v>
      </c>
      <c r="C17" s="82"/>
      <c r="D17" s="82"/>
      <c r="E17" s="8">
        <v>0</v>
      </c>
      <c r="F17" s="12" t="s">
        <v>3</v>
      </c>
      <c r="G17" s="1"/>
    </row>
    <row r="18" spans="1:7" x14ac:dyDescent="0.25">
      <c r="A18" s="1"/>
      <c r="B18" s="83" t="s">
        <v>130</v>
      </c>
      <c r="C18" s="83"/>
      <c r="D18" s="83"/>
      <c r="E18" s="9">
        <f>E15-(E16-E17)</f>
        <v>1785227.7088031396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69" t="s">
        <v>112</v>
      </c>
      <c r="C20" s="69"/>
      <c r="D20" s="69"/>
      <c r="E20" s="69"/>
      <c r="F20" s="6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1" t="s">
        <v>66</v>
      </c>
      <c r="C23" s="81"/>
      <c r="D23" s="81"/>
      <c r="E23" s="81"/>
      <c r="F23" s="81"/>
      <c r="G23" s="1"/>
    </row>
    <row r="24" spans="1:7" x14ac:dyDescent="0.25">
      <c r="A24" s="1"/>
      <c r="B24" s="82" t="s">
        <v>67</v>
      </c>
      <c r="C24" s="82"/>
      <c r="D24" s="82"/>
      <c r="E24" s="8">
        <v>14221630.152044814</v>
      </c>
      <c r="F24" s="12" t="s">
        <v>3</v>
      </c>
      <c r="G24" s="1"/>
    </row>
    <row r="25" spans="1:7" x14ac:dyDescent="0.25">
      <c r="A25" s="1"/>
      <c r="B25" s="82" t="s">
        <v>68</v>
      </c>
      <c r="C25" s="82"/>
      <c r="D25" s="82"/>
      <c r="E25" s="8">
        <v>14683332</v>
      </c>
      <c r="F25" s="12" t="s">
        <v>3</v>
      </c>
      <c r="G25" s="1"/>
    </row>
    <row r="26" spans="1:7" x14ac:dyDescent="0.25">
      <c r="A26" s="1"/>
      <c r="B26" s="82" t="s">
        <v>44</v>
      </c>
      <c r="C26" s="82"/>
      <c r="D26" s="82"/>
      <c r="E26" s="8">
        <v>0</v>
      </c>
      <c r="F26" s="12" t="s">
        <v>3</v>
      </c>
      <c r="G26" s="1"/>
    </row>
    <row r="27" spans="1:7" x14ac:dyDescent="0.25">
      <c r="A27" s="1"/>
      <c r="B27" s="83" t="s">
        <v>130</v>
      </c>
      <c r="C27" s="83"/>
      <c r="D27" s="83"/>
      <c r="E27" s="9">
        <f>E24-(E25-E26)</f>
        <v>-461701.84795518592</v>
      </c>
      <c r="F27" s="15" t="s">
        <v>3</v>
      </c>
      <c r="G27" s="1"/>
    </row>
    <row r="28" spans="1:7" x14ac:dyDescent="0.25">
      <c r="A28" s="1"/>
      <c r="B28" s="78"/>
      <c r="C28" s="79"/>
      <c r="D28" s="79"/>
      <c r="E28" s="79"/>
      <c r="F28" s="8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1" t="s">
        <v>114</v>
      </c>
      <c r="C31" s="81"/>
      <c r="D31" s="81"/>
      <c r="E31" s="81"/>
      <c r="F31" s="81"/>
      <c r="G31" s="1"/>
    </row>
    <row r="32" spans="1:7" x14ac:dyDescent="0.25">
      <c r="A32" s="1"/>
      <c r="B32" s="75" t="s">
        <v>47</v>
      </c>
      <c r="C32" s="75"/>
      <c r="D32" s="75"/>
      <c r="E32" s="8">
        <f>E9</f>
        <v>-225058.24531426671</v>
      </c>
      <c r="F32" s="12" t="s">
        <v>3</v>
      </c>
      <c r="G32" s="1"/>
    </row>
    <row r="33" spans="1:7" x14ac:dyDescent="0.25">
      <c r="A33" s="1"/>
      <c r="B33" s="75" t="s">
        <v>128</v>
      </c>
      <c r="C33" s="75"/>
      <c r="D33" s="75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5" t="s">
        <v>122</v>
      </c>
      <c r="C34" s="75"/>
      <c r="D34" s="75"/>
      <c r="E34" s="8">
        <v>4</v>
      </c>
      <c r="F34" s="12" t="s">
        <v>27</v>
      </c>
      <c r="G34" s="1"/>
    </row>
    <row r="35" spans="1:7" x14ac:dyDescent="0.25">
      <c r="A35" s="1"/>
      <c r="B35" s="83" t="s">
        <v>153</v>
      </c>
      <c r="C35" s="83"/>
      <c r="D35" s="83"/>
      <c r="E35" s="9">
        <f>SUM(E32:E33)/E34</f>
        <v>-56264.561328566677</v>
      </c>
      <c r="F35" s="15" t="s">
        <v>3</v>
      </c>
      <c r="G35" s="1"/>
    </row>
    <row r="36" spans="1:7" x14ac:dyDescent="0.25">
      <c r="A36" s="1"/>
      <c r="B36" s="81"/>
      <c r="C36" s="81"/>
      <c r="D36" s="81"/>
      <c r="E36" s="81"/>
      <c r="F36" s="8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XGwDWaMRCrZcxDxu3Gj+IIl1IIV/VbXUApuNaPAyTOl+3BL3fOSvUQCDAiihmKAfVSj/K42tFXOOdzEhclB76Q==" saltValue="zZEKyIm2aZMkihBzqKI+wg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154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1" t="s">
        <v>94</v>
      </c>
      <c r="C8" s="81"/>
      <c r="D8" s="81"/>
      <c r="E8" s="81"/>
      <c r="F8" s="81"/>
      <c r="G8" s="1"/>
    </row>
    <row r="9" spans="1:7" ht="28.5" customHeight="1" x14ac:dyDescent="0.25">
      <c r="A9" s="1"/>
      <c r="B9" s="70" t="s">
        <v>98</v>
      </c>
      <c r="C9" s="70"/>
      <c r="D9" s="70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7" t="s">
        <v>3</v>
      </c>
      <c r="G9" s="1"/>
    </row>
    <row r="10" spans="1:7" x14ac:dyDescent="0.25">
      <c r="A10" s="1"/>
      <c r="B10" s="43" t="s">
        <v>109</v>
      </c>
      <c r="C10" s="43"/>
      <c r="D10" s="43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FXWtauM5lVwIghQdkUFkHKXNVM+nphELoQaj9D4jhaCNdgdcKXS0l0nzqlBUZtVDWSYemvxQxdP8vYbXBlVpCw==" saltValue="vpWFvqhRdtDTtMcyGZM2a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2019-09-04T11:54:26Z</dcterms:modified>
</cp:coreProperties>
</file>