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Læsø Vand AS (S065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Periodevise driftsomk." sheetId="20" r:id="rId13"/>
    <sheet name="Fane 10. Tilknyttet aktivitet" sheetId="29" r:id="rId14"/>
    <sheet name="Fane 11. Bortfald" sheetId="21" r:id="rId15"/>
    <sheet name="Fane 12. Hist. over-underdæk." sheetId="10" r:id="rId16"/>
    <sheet name="Fane 13. Nøgletal" sheetId="26" r:id="rId17"/>
  </sheets>
  <calcPr calcId="162913"/>
</workbook>
</file>

<file path=xl/calcChain.xml><?xml version="1.0" encoding="utf-8"?>
<calcChain xmlns="http://schemas.openxmlformats.org/spreadsheetml/2006/main">
  <c r="E19" i="40" l="1"/>
  <c r="E16" i="40" l="1"/>
  <c r="E12" i="40"/>
  <c r="E11" i="2" l="1"/>
  <c r="E10" i="2"/>
  <c r="E13" i="27"/>
  <c r="E18" i="27"/>
  <c r="E19" i="27" l="1"/>
  <c r="E10" i="20" l="1"/>
  <c r="E11" i="20" s="1"/>
  <c r="E25" i="20" l="1"/>
  <c r="E20" i="20"/>
  <c r="E15" i="20"/>
  <c r="E20" i="40" l="1"/>
  <c r="E29" i="2" s="1"/>
  <c r="E21" i="20" l="1"/>
  <c r="E16" i="22" s="1"/>
  <c r="E16" i="20"/>
  <c r="E18" i="15" s="1"/>
  <c r="E21" i="2"/>
  <c r="E26" i="20" l="1"/>
  <c r="E16" i="23" s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8" i="23" s="1"/>
  <c r="E34" i="39"/>
  <c r="E19" i="23" s="1"/>
  <c r="C27" i="39"/>
  <c r="E18" i="22" s="1"/>
  <c r="E27" i="39"/>
  <c r="E19" i="22" s="1"/>
  <c r="E20" i="39"/>
  <c r="E21" i="15" s="1"/>
  <c r="C20" i="39"/>
  <c r="E20" i="15" s="1"/>
  <c r="E20" i="23" l="1"/>
  <c r="E13" i="39"/>
  <c r="E24" i="2" s="1"/>
  <c r="E20" i="22"/>
  <c r="C13" i="39"/>
  <c r="E23" i="2" s="1"/>
  <c r="G12" i="10"/>
  <c r="G14" i="10" s="1"/>
  <c r="E22" i="15" l="1"/>
  <c r="E25" i="2"/>
  <c r="E14" i="27" l="1"/>
  <c r="E15" i="27" s="1"/>
  <c r="E9" i="2" s="1"/>
  <c r="E26" i="27" l="1"/>
  <c r="E27" i="32"/>
  <c r="E33" i="32" s="1"/>
  <c r="E35" i="32" s="1"/>
  <c r="E24" i="15" l="1"/>
  <c r="E22" i="22" s="1"/>
  <c r="E22" i="23" l="1"/>
  <c r="F11" i="11"/>
  <c r="C10" i="37" s="1"/>
  <c r="C11" i="37" s="1"/>
  <c r="C12" i="37" s="1"/>
  <c r="G11" i="11"/>
  <c r="E11" i="21" l="1"/>
  <c r="C11" i="21"/>
  <c r="E11" i="29"/>
  <c r="C11" i="29"/>
  <c r="C13" i="19"/>
  <c r="C14" i="19" s="1"/>
  <c r="C12" i="21" l="1"/>
  <c r="E12" i="21"/>
  <c r="C12" i="29"/>
  <c r="E12" i="29"/>
  <c r="E14" i="23"/>
  <c r="E14" i="22"/>
  <c r="E19" i="2"/>
  <c r="E16" i="15"/>
  <c r="E14" i="2" l="1"/>
  <c r="E13" i="2"/>
  <c r="E11" i="11" l="1"/>
  <c r="E10" i="37" s="1"/>
  <c r="E11" i="37" s="1"/>
  <c r="E12" i="37" s="1"/>
  <c r="E12" i="2" s="1"/>
  <c r="E15" i="2" s="1"/>
  <c r="E27" i="2"/>
  <c r="E16" i="2" l="1"/>
  <c r="E17" i="2" s="1"/>
  <c r="E30" i="2" l="1"/>
  <c r="E9" i="15"/>
  <c r="E12" i="15" s="1"/>
  <c r="E13" i="15" s="1"/>
  <c r="E14" i="15" s="1"/>
  <c r="E25" i="15" l="1"/>
  <c r="E8" i="22"/>
  <c r="E10" i="22" s="1"/>
  <c r="E11" i="22" l="1"/>
  <c r="E12" i="22" s="1"/>
  <c r="E23" i="22" s="1"/>
  <c r="E8" i="23" l="1"/>
  <c r="E10" i="23" s="1"/>
  <c r="E11" i="23" l="1"/>
  <c r="E12" i="23" s="1"/>
  <c r="E23" i="23" s="1"/>
</calcChain>
</file>

<file path=xl/sharedStrings.xml><?xml version="1.0" encoding="utf-8"?>
<sst xmlns="http://schemas.openxmlformats.org/spreadsheetml/2006/main" count="506" uniqueCount="193">
  <si>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</si>
  <si>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</si>
  <si>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</si>
  <si>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</si>
  <si>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</si>
  <si>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</si>
  <si>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</si>
  <si>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</si>
  <si>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</si>
  <si>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</si>
  <si>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</si>
  <si>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</si>
  <si>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</si>
  <si>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</si>
  <si>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</si>
  <si>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</si>
  <si>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</si>
  <si>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</si>
  <si>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</si>
  <si>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</si>
  <si>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</si>
  <si>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</si>
  <si>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</si>
  <si>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</si>
  <si>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</si>
  <si>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</si>
  <si>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</si>
  <si>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</si>
  <si>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</si>
  <si>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</si>
  <si>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</si>
  <si>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</si>
  <si>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</si>
  <si>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</si>
  <si>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</si>
  <si>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</si>
  <si>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</si>
  <si>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</si>
  <si>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</si>
  <si>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</si>
  <si>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</si>
  <si>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</si>
  <si>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</si>
  <si>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</si>
  <si>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</si>
  <si>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</si>
  <si>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</si>
  <si>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</si>
  <si>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</si>
  <si>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</si>
  <si>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</si>
  <si>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</si>
  <si>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</si>
  <si>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</si>
  <si>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Fane 13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</si>
  <si>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</si>
  <si>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</si>
  <si>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</si>
  <si>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</si>
  <si>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</si>
  <si>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</si>
  <si>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</si>
  <si>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</si>
  <si>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</si>
  <si>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</si>
  <si>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</si>
  <si>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</si>
  <si>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</si>
  <si>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</si>
  <si>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</si>
  <si>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</si>
  <si>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</si>
  <si>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</si>
  <si>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</si>
  <si>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</si>
  <si>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</si>
  <si>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</si>
  <si>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</si>
  <si>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</si>
  <si>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</si>
  <si>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</si>
  <si>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</si>
  <si>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</si>
  <si>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</si>
  <si>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</si>
  <si>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</si>
  <si>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</si>
  <si>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Periodevise driftsomkostninger i alt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</si>
  <si>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</si>
  <si>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</si>
  <si>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</si>
  <si>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</si>
  <si>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</si>
  <si>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Periodevise driftsomkostninger i alt i 2018-prisniveau</t>
  </si>
  <si>
    <t>Periodevise driftsomkostninger til de økonomiske rammer for 2020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</si>
  <si>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</si>
  <si>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</si>
  <si>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</si>
  <si>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2020-prisniveau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</si>
  <si>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</si>
  <si>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</si>
  <si>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</si>
  <si>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</si>
  <si>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</si>
  <si>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</si>
  <si>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</si>
  <si>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</si>
  <si>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</si>
  <si>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</si>
  <si>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</si>
  <si>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periodevise driftsomkostninger i de økonomiske rammer for 2018</t>
  </si>
  <si>
    <t>Korrektion af tidligere godkendte omkostninger til medfinansiering af klimatilpasningsprojekter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</si>
  <si>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</si>
  <si>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</si>
  <si>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</si>
  <si>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</si>
  <si>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</si>
  <si>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</si>
  <si>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</si>
  <si>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</si>
  <si>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</si>
  <si>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</si>
  <si>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</si>
  <si>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</si>
  <si>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Tillæg til tilbagebetaling af vejbidrag</t>
  </si>
  <si>
    <t>Fane 4: Ikke-påvirkelige omkostninger</t>
  </si>
  <si>
    <t>Tillæg til den økonomiske ramme for 2020</t>
  </si>
  <si>
    <t>Tillæg til den økonomiske ramme for 2021</t>
  </si>
  <si>
    <t>Tillæg til den økonomiske ramme for 2022</t>
  </si>
  <si>
    <t>Tillæg til den økonomiske ramme for 2023</t>
  </si>
  <si>
    <t>Tidligere tilknyttet aktivitet</t>
  </si>
  <si>
    <t>Samlede tillæg til periodevise driftsomkostninger jf. indmeldte oprensningsplan</t>
  </si>
  <si>
    <t>Faktisk periodevis driftsomkostning i 2018</t>
  </si>
  <si>
    <t>Difference (Korrektion)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</si>
  <si>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</si>
  <si>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</si>
  <si>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</si>
  <si>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</si>
  <si>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</si>
  <si>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</si>
  <si>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</si>
  <si>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13: Nøgletal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</si>
  <si>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</si>
  <si>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</si>
  <si>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</si>
  <si>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</si>
  <si>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10: Tilknyttet aktivitet under hovedvirksomheden</t>
  </si>
  <si>
    <t>Fane 11: Bortfald eller nedsættelse af omkostninger til mål, medfinansiering eller udvidelse</t>
  </si>
  <si>
    <t>Fane 12: Historisk over- eller underdækning</t>
  </si>
  <si>
    <t>Fane 6</t>
  </si>
  <si>
    <t>Fane 8.1</t>
  </si>
  <si>
    <t>Fane 8.2</t>
  </si>
  <si>
    <t>Fane 11</t>
  </si>
  <si>
    <t>Nøgletal</t>
  </si>
  <si>
    <t>Tidligere godkendt tillæg indregnet i den økonomiske ramme for 2018</t>
  </si>
  <si>
    <t>Faktisk omkostning til medfinansiering af klimatilpasningsprojekter i 2018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</si>
  <si>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</si>
  <si>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</si>
  <si>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</si>
  <si>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</si>
  <si>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Tillæg til medfinansieringsprojekter godkendt under prisloftsbekendtgørelsen</t>
  </si>
  <si>
    <t>Prisudvikling til brug for ØR2017-2020</t>
  </si>
  <si>
    <t xml:space="preserve">Effektiviseringskrav </t>
  </si>
  <si>
    <t>Fane 9: Periodevise driftsomkostninger givet under prisloftsbekendtgørelsen</t>
  </si>
  <si>
    <t>Periodevise driftsomkostninger i den økonomiske ramme for 2019</t>
  </si>
  <si>
    <t>Periodevise driftsomkostninger i alt i 2017-prisniveau</t>
  </si>
  <si>
    <t>Fane 3: Videreførte omkostninger fra den økonomiske ramme for 2019</t>
  </si>
  <si>
    <t>Effektiviseringskrav af periodevise driftsomkostninger</t>
  </si>
  <si>
    <t>Periodevise driftsomkostninger i den økonomiske ramme for 2019 i alt</t>
  </si>
  <si>
    <t xml:space="preserve"> - Heraf nye omkostninger i ØR18</t>
  </si>
  <si>
    <t>Nye tillæg</t>
  </si>
  <si>
    <t>Bortfald eller nedsættelse af omkostninger</t>
  </si>
  <si>
    <t xml:space="preserve"> - Heraf nye omkostninger i ØR19</t>
  </si>
  <si>
    <t>Fane 2.4: Samlet økonomisk ramme for 2023</t>
  </si>
  <si>
    <t>Fane 2.3: Samlet økonomisk ramme for 2022</t>
  </si>
  <si>
    <t>Spildevandsafgift</t>
  </si>
  <si>
    <t>Afgift til Forsyningssekretariatet</t>
  </si>
  <si>
    <t>Ejendomsskatter</t>
  </si>
  <si>
    <t>Ingen engangstillæg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</si>
  <si>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</si>
  <si>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</si>
  <si>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</si>
  <si>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</si>
  <si>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</si>
  <si>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</si>
  <si>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</si>
  <si>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</si>
  <si>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</si>
  <si>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</si>
  <si>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</si>
  <si>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Prisfremskrivning til 2017-prisniveau af korrektion af periodevise driftsomkostninger i de økonomiske rammer for 2019</t>
  </si>
  <si>
    <t>Fane 3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</si>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</sst>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3" fontId="8" fillId="0" borderId="1" xfId="0" applyNumberFormat="1" applyFont="1" applyFill="1" applyBorder="1" applyAlignment="1" applyProtection="1">
      <alignment wrapText="1"/>
    </xf>
    <xf numFmtId="1" fontId="8" fillId="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2" t="s">
        <v>4</v>
      </c>
      <c r="E6" s="52"/>
      <c r="F6" s="52"/>
      <c r="G6" s="52"/>
      <c r="H6" s="3"/>
      <c r="I6" s="1"/>
    </row>
    <row r="7" spans="1:9" ht="15" customHeight="1" x14ac:dyDescent="0.25">
      <c r="A7" s="1"/>
      <c r="B7" s="1"/>
      <c r="C7" s="3"/>
      <c r="D7" s="52"/>
      <c r="E7" s="52"/>
      <c r="F7" s="52"/>
      <c r="G7" s="52"/>
      <c r="H7" s="3"/>
      <c r="I7" s="1"/>
    </row>
    <row r="8" spans="1:9" ht="15.75" x14ac:dyDescent="0.25">
      <c r="A8" s="1"/>
      <c r="B8" s="1"/>
      <c r="C8" s="4"/>
      <c r="D8" s="57" t="s">
        <v>138</v>
      </c>
      <c r="E8" s="57"/>
      <c r="F8" s="57"/>
      <c r="G8" s="5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6" t="s">
        <v>5</v>
      </c>
      <c r="E11" s="56"/>
      <c r="F11" s="56"/>
      <c r="G11" s="5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49" t="s">
        <v>49</v>
      </c>
      <c r="E13" s="50"/>
      <c r="F13" s="50"/>
      <c r="G13" s="51"/>
      <c r="H13" s="1"/>
      <c r="I13" s="1"/>
    </row>
    <row r="14" spans="1:9" x14ac:dyDescent="0.25">
      <c r="A14" s="1"/>
      <c r="B14" s="1"/>
      <c r="C14" s="6" t="s">
        <v>22</v>
      </c>
      <c r="D14" s="49" t="s">
        <v>139</v>
      </c>
      <c r="E14" s="50"/>
      <c r="F14" s="50"/>
      <c r="G14" s="51"/>
      <c r="H14" s="1"/>
      <c r="I14" s="1"/>
    </row>
    <row r="15" spans="1:9" x14ac:dyDescent="0.25">
      <c r="A15" s="1"/>
      <c r="B15" s="1"/>
      <c r="C15" s="6" t="s">
        <v>48</v>
      </c>
      <c r="D15" s="49" t="s">
        <v>76</v>
      </c>
      <c r="E15" s="50"/>
      <c r="F15" s="50"/>
      <c r="G15" s="51"/>
      <c r="H15" s="1"/>
      <c r="I15" s="1"/>
    </row>
    <row r="16" spans="1:9" x14ac:dyDescent="0.25">
      <c r="A16" s="1"/>
      <c r="B16" s="1"/>
      <c r="C16" s="6" t="s">
        <v>50</v>
      </c>
      <c r="D16" s="49" t="s">
        <v>77</v>
      </c>
      <c r="E16" s="50"/>
      <c r="F16" s="50"/>
      <c r="G16" s="51"/>
      <c r="H16" s="1"/>
      <c r="I16" s="1"/>
    </row>
    <row r="17" spans="1:9" x14ac:dyDescent="0.25">
      <c r="A17" s="1"/>
      <c r="B17" s="1"/>
      <c r="C17" s="6" t="s">
        <v>191</v>
      </c>
      <c r="D17" s="49" t="s">
        <v>58</v>
      </c>
      <c r="E17" s="50"/>
      <c r="F17" s="50"/>
      <c r="G17" s="51"/>
      <c r="H17" s="1"/>
      <c r="I17" s="1"/>
    </row>
    <row r="18" spans="1:9" x14ac:dyDescent="0.25">
      <c r="A18" s="1"/>
      <c r="B18" s="1"/>
      <c r="C18" s="6" t="s">
        <v>7</v>
      </c>
      <c r="D18" s="61" t="s">
        <v>16</v>
      </c>
      <c r="E18" s="62"/>
      <c r="F18" s="62"/>
      <c r="G18" s="63"/>
      <c r="H18" s="1"/>
      <c r="I18" s="1"/>
    </row>
    <row r="19" spans="1:9" x14ac:dyDescent="0.25">
      <c r="A19" s="1"/>
      <c r="B19" s="1"/>
      <c r="C19" s="6" t="s">
        <v>8</v>
      </c>
      <c r="D19" s="53" t="s">
        <v>109</v>
      </c>
      <c r="E19" s="54"/>
      <c r="F19" s="54"/>
      <c r="G19" s="55"/>
      <c r="H19" s="1"/>
      <c r="I19" s="1"/>
    </row>
    <row r="20" spans="1:9" x14ac:dyDescent="0.25">
      <c r="A20" s="1"/>
      <c r="B20" s="1"/>
      <c r="C20" s="6" t="s">
        <v>149</v>
      </c>
      <c r="D20" s="53" t="s">
        <v>179</v>
      </c>
      <c r="E20" s="54"/>
      <c r="F20" s="54"/>
      <c r="G20" s="55"/>
      <c r="H20" s="1"/>
      <c r="I20" s="1"/>
    </row>
    <row r="21" spans="1:9" x14ac:dyDescent="0.25">
      <c r="A21" s="1"/>
      <c r="B21" s="1"/>
      <c r="C21" s="6" t="s">
        <v>83</v>
      </c>
      <c r="D21" s="53" t="s">
        <v>51</v>
      </c>
      <c r="E21" s="54"/>
      <c r="F21" s="54"/>
      <c r="G21" s="55"/>
      <c r="H21" s="1"/>
      <c r="I21" s="1"/>
    </row>
    <row r="22" spans="1:9" x14ac:dyDescent="0.25">
      <c r="A22" s="1"/>
      <c r="B22" s="1"/>
      <c r="C22" s="6" t="s">
        <v>150</v>
      </c>
      <c r="D22" s="53" t="s">
        <v>84</v>
      </c>
      <c r="E22" s="54"/>
      <c r="F22" s="54"/>
      <c r="G22" s="55"/>
      <c r="H22" s="1"/>
      <c r="I22" s="1"/>
    </row>
    <row r="23" spans="1:9" x14ac:dyDescent="0.25">
      <c r="A23" s="1"/>
      <c r="B23" s="1"/>
      <c r="C23" s="6" t="s">
        <v>151</v>
      </c>
      <c r="D23" s="53" t="s">
        <v>85</v>
      </c>
      <c r="E23" s="54"/>
      <c r="F23" s="54"/>
      <c r="G23" s="55"/>
      <c r="H23" s="1"/>
      <c r="I23" s="1"/>
    </row>
    <row r="24" spans="1:9" x14ac:dyDescent="0.25">
      <c r="A24" s="1"/>
      <c r="B24" s="1"/>
      <c r="C24" s="6" t="s">
        <v>9</v>
      </c>
      <c r="D24" s="53" t="s">
        <v>86</v>
      </c>
      <c r="E24" s="54"/>
      <c r="F24" s="54"/>
      <c r="G24" s="55"/>
      <c r="H24" s="1"/>
      <c r="I24" s="1"/>
    </row>
    <row r="25" spans="1:9" x14ac:dyDescent="0.25">
      <c r="A25" s="1"/>
      <c r="B25" s="1"/>
      <c r="C25" s="6" t="s">
        <v>108</v>
      </c>
      <c r="D25" s="53" t="s">
        <v>52</v>
      </c>
      <c r="E25" s="54"/>
      <c r="F25" s="54"/>
      <c r="G25" s="55"/>
      <c r="H25" s="1"/>
      <c r="I25" s="1"/>
    </row>
    <row r="26" spans="1:9" x14ac:dyDescent="0.25">
      <c r="A26" s="1"/>
      <c r="B26" s="1"/>
      <c r="C26" s="6" t="s">
        <v>152</v>
      </c>
      <c r="D26" s="53" t="s">
        <v>53</v>
      </c>
      <c r="E26" s="54"/>
      <c r="F26" s="54"/>
      <c r="G26" s="55"/>
      <c r="H26" s="1"/>
      <c r="I26" s="1"/>
    </row>
    <row r="27" spans="1:9" x14ac:dyDescent="0.25">
      <c r="A27" s="1"/>
      <c r="B27" s="1"/>
      <c r="C27" s="6" t="s">
        <v>21</v>
      </c>
      <c r="D27" s="64" t="s">
        <v>10</v>
      </c>
      <c r="E27" s="65"/>
      <c r="F27" s="65"/>
      <c r="G27" s="66"/>
      <c r="H27" s="1"/>
      <c r="I27" s="1"/>
    </row>
    <row r="28" spans="1:9" x14ac:dyDescent="0.25">
      <c r="A28" s="1"/>
      <c r="B28" s="1"/>
      <c r="C28" s="6" t="s">
        <v>54</v>
      </c>
      <c r="D28" s="58" t="s">
        <v>153</v>
      </c>
      <c r="E28" s="59"/>
      <c r="F28" s="59"/>
      <c r="G28" s="60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BI3t2NmuR0m9/vp/lntqcL5p0L5gXry5VyYJicbU4xHo03Etv8+jCN7TODO5xTjsNyx1Onvf/uA35iIRQxSAQw==" saltValue="FwSEJ1CYpRt3gi4ggcqikw==" spinCount="100000" sheet="1" objects="1" scenarios="1"/>
  <mergeCells count="19">
    <mergeCell ref="D26:G26"/>
    <mergeCell ref="D28:G28"/>
    <mergeCell ref="D18:G18"/>
    <mergeCell ref="D21:G21"/>
    <mergeCell ref="D22:G22"/>
    <mergeCell ref="D25:G25"/>
    <mergeCell ref="D23:G23"/>
    <mergeCell ref="D24:G24"/>
    <mergeCell ref="D20:G20"/>
    <mergeCell ref="D27:G27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1'!A1" display="Samlet økonomisk ramme for 2021"/>
    <hyperlink ref="D22:G22" location="'Fane 8.1. Varige tillæg'!A1" display="Varige tillæg"/>
    <hyperlink ref="D25:G25" location="'Fane 10. Tilknyttet aktivitet'!A1" display="Tilknyttet aktivitet"/>
    <hyperlink ref="D26:G26" location="'Fane 11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8:G28" location="'Fane 13. Nøgletal'!A1" display="Nøgletal"/>
    <hyperlink ref="D23:G23" location="'Fane 8.2. Engangstillæg'!A1" display="Engangstillæg"/>
    <hyperlink ref="D24:G24" location="'Fane 9. Periodevise driftsomk.'!A1" display="Periodevise driftsomkostninger"/>
    <hyperlink ref="D27:G27" location="'Fane 12. Hist. over-underdæk.'!A1" display="Historisk over- eller underdækning"/>
    <hyperlink ref="D20" location="'Fane 6. Korrektioner'!A1" display="Korrektion af tidligere rammer"/>
    <hyperlink ref="D17" location="'Fane 3. Omkostninger i ØR2019'!A1" display="Omkostninger i ØR2019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183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4" t="s">
        <v>184</v>
      </c>
      <c r="C8" s="75"/>
      <c r="D8" s="75"/>
      <c r="E8" s="75"/>
      <c r="F8" s="75"/>
      <c r="G8" s="75"/>
      <c r="H8" s="76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40" t="s">
        <v>2</v>
      </c>
      <c r="F9" s="40" t="s">
        <v>15</v>
      </c>
      <c r="G9" s="40" t="s">
        <v>41</v>
      </c>
      <c r="H9" s="46"/>
      <c r="I9" s="1"/>
    </row>
    <row r="10" spans="1:9" x14ac:dyDescent="0.25">
      <c r="A10" s="1"/>
      <c r="B10" s="44" t="s">
        <v>188</v>
      </c>
      <c r="C10" s="35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4" t="s">
        <v>185</v>
      </c>
      <c r="C11" s="75"/>
      <c r="D11" s="76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oimAxqSmi0bXxCGJ3oJmamth4jqeg4tFDeFhxptDoly6zVxMj/XRJLb6ci7UOUHZC/m/W1xqk7G8Mwyqs+5rkQ==" saltValue="/Z69t7SJ6JHhLfzoV2+f0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143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7" t="s">
        <v>80</v>
      </c>
      <c r="C8" s="24"/>
      <c r="D8" s="24"/>
      <c r="E8" s="24"/>
      <c r="F8" s="48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6"/>
      <c r="G9" s="1"/>
    </row>
    <row r="10" spans="1:7" x14ac:dyDescent="0.25">
      <c r="A10" s="1"/>
      <c r="B10" s="22" t="s">
        <v>189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7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7" t="s">
        <v>64</v>
      </c>
      <c r="C12" s="10">
        <f>C11*(1+'Fane 13. Nøgletal'!C12)</f>
        <v>0</v>
      </c>
      <c r="D12" s="11" t="s">
        <v>3</v>
      </c>
      <c r="E12" s="10">
        <f>E11*(1+'Fane 13.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u0iDMha1w/1C+5IeXLhA0EOgmWNqdIcw2FwHvzf2uTLvydJ4TdU0VdPFAlrV2GEgPJ5dzIuVlBQg2LfvNwmRpg==" saltValue="SEoH23g1doS9447EHBpuj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144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4" t="s">
        <v>116</v>
      </c>
      <c r="C8" s="75"/>
      <c r="D8" s="75"/>
      <c r="E8" s="75"/>
      <c r="F8" s="76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6"/>
      <c r="G9" s="1"/>
    </row>
    <row r="10" spans="1:7" x14ac:dyDescent="0.25">
      <c r="A10" s="1"/>
      <c r="B10" s="22" t="s">
        <v>178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7" t="s">
        <v>120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137</v>
      </c>
      <c r="C12" s="28">
        <f>-C11*'Fane 13. Nøgletal'!C17</f>
        <v>0</v>
      </c>
      <c r="D12" s="29" t="s">
        <v>3</v>
      </c>
      <c r="E12" s="28">
        <f>-E11*'Fane 13. Nøgletal'!C17</f>
        <v>0</v>
      </c>
      <c r="F12" s="29" t="s">
        <v>3</v>
      </c>
      <c r="G12" s="1"/>
    </row>
    <row r="13" spans="1:7" x14ac:dyDescent="0.25">
      <c r="A13" s="1"/>
      <c r="B13" s="47" t="s">
        <v>121</v>
      </c>
      <c r="C13" s="10">
        <f>SUM(C11:C12)*(1+'Fane 13. Nøgletal'!C12)^2</f>
        <v>0</v>
      </c>
      <c r="D13" s="11" t="s">
        <v>3</v>
      </c>
      <c r="E13" s="10">
        <f>SUM(E11:E12)*(1+'Fane 13.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4" t="s">
        <v>117</v>
      </c>
      <c r="C15" s="75"/>
      <c r="D15" s="75"/>
      <c r="E15" s="75"/>
      <c r="F15" s="76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6"/>
      <c r="G16" s="1"/>
    </row>
    <row r="17" spans="1:7" x14ac:dyDescent="0.25">
      <c r="A17" s="1"/>
      <c r="B17" s="22" t="s">
        <v>178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7" t="s">
        <v>120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137</v>
      </c>
      <c r="C19" s="28">
        <f>-C18*'Fane 13. Nøgletal'!C17</f>
        <v>0</v>
      </c>
      <c r="D19" s="29" t="s">
        <v>3</v>
      </c>
      <c r="E19" s="28">
        <f>-E18*'Fane 13. Nøgletal'!C17</f>
        <v>0</v>
      </c>
      <c r="F19" s="29" t="s">
        <v>3</v>
      </c>
      <c r="G19" s="1"/>
    </row>
    <row r="20" spans="1:7" x14ac:dyDescent="0.25">
      <c r="A20" s="1"/>
      <c r="B20" s="47" t="s">
        <v>122</v>
      </c>
      <c r="C20" s="10">
        <f>SUM(C18:C19)*(1+'Fane 13. Nøgletal'!C12)^3</f>
        <v>0</v>
      </c>
      <c r="D20" s="11" t="s">
        <v>3</v>
      </c>
      <c r="E20" s="10">
        <f>SUM(E18:E19)*(1+'Fane 13.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4" t="s">
        <v>118</v>
      </c>
      <c r="C22" s="75"/>
      <c r="D22" s="75"/>
      <c r="E22" s="75"/>
      <c r="F22" s="76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6"/>
      <c r="G23" s="1"/>
    </row>
    <row r="24" spans="1:7" x14ac:dyDescent="0.25">
      <c r="A24" s="1"/>
      <c r="B24" s="22" t="s">
        <v>178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7" t="s">
        <v>120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137</v>
      </c>
      <c r="C26" s="28">
        <f>-C25*'Fane 13. Nøgletal'!C17</f>
        <v>0</v>
      </c>
      <c r="D26" s="29" t="s">
        <v>3</v>
      </c>
      <c r="E26" s="28">
        <f>-E25*'Fane 13. Nøgletal'!C17</f>
        <v>0</v>
      </c>
      <c r="F26" s="29" t="s">
        <v>3</v>
      </c>
      <c r="G26" s="1"/>
    </row>
    <row r="27" spans="1:7" x14ac:dyDescent="0.25">
      <c r="A27" s="1"/>
      <c r="B27" s="47" t="s">
        <v>122</v>
      </c>
      <c r="C27" s="10">
        <f>SUM(C25:C26)*(1+'Fane 13. Nøgletal'!C12)^4</f>
        <v>0</v>
      </c>
      <c r="D27" s="11" t="s">
        <v>3</v>
      </c>
      <c r="E27" s="10">
        <f>SUM(E25:E26)*(1+'Fane 13.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4" t="s">
        <v>119</v>
      </c>
      <c r="C29" s="75"/>
      <c r="D29" s="75"/>
      <c r="E29" s="75"/>
      <c r="F29" s="76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6"/>
      <c r="G30" s="1"/>
    </row>
    <row r="31" spans="1:7" x14ac:dyDescent="0.25">
      <c r="A31" s="1"/>
      <c r="B31" s="22" t="s">
        <v>178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7" t="s">
        <v>120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137</v>
      </c>
      <c r="C33" s="28">
        <f>-C32*'Fane 13. Nøgletal'!C17</f>
        <v>0</v>
      </c>
      <c r="D33" s="29" t="s">
        <v>3</v>
      </c>
      <c r="E33" s="28">
        <f>-E32*'Fane 13. Nøgletal'!C17</f>
        <v>0</v>
      </c>
      <c r="F33" s="29" t="s">
        <v>3</v>
      </c>
      <c r="G33" s="1"/>
    </row>
    <row r="34" spans="1:7" x14ac:dyDescent="0.25">
      <c r="A34" s="1"/>
      <c r="B34" s="47" t="s">
        <v>122</v>
      </c>
      <c r="C34" s="10">
        <f>SUM(C32:C33)*(1+'Fane 13. Nøgletal'!C12)^5</f>
        <v>0</v>
      </c>
      <c r="D34" s="11" t="s">
        <v>3</v>
      </c>
      <c r="E34" s="10">
        <f>SUM(E32:E33)*(1+'Fane 13.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I/Eru81Ak0OPpHSMBpDjrfwwoNZMoo2yHZcf7Kb6E9JzxpxHEdAegEVj6ahCtputBjJ/vFQGEaJoYSsoAbiORg==" saltValue="+YBlSDeS/Xj9e9h3OnEePg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163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4"/>
      <c r="C5" s="84"/>
      <c r="D5" s="84"/>
      <c r="E5" s="84"/>
      <c r="F5" s="8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4" t="s">
        <v>94</v>
      </c>
      <c r="C8" s="75"/>
      <c r="D8" s="75"/>
      <c r="E8" s="75"/>
      <c r="F8" s="76"/>
      <c r="G8" s="1"/>
    </row>
    <row r="9" spans="1:7" x14ac:dyDescent="0.25">
      <c r="A9" s="1"/>
      <c r="B9" s="96" t="s">
        <v>165</v>
      </c>
      <c r="C9" s="97"/>
      <c r="D9" s="98"/>
      <c r="E9" s="8">
        <v>0</v>
      </c>
      <c r="F9" s="12" t="s">
        <v>3</v>
      </c>
      <c r="G9" s="1"/>
    </row>
    <row r="10" spans="1:7" x14ac:dyDescent="0.25">
      <c r="A10" s="1"/>
      <c r="B10" s="93" t="s">
        <v>137</v>
      </c>
      <c r="C10" s="94"/>
      <c r="D10" s="95"/>
      <c r="E10" s="8">
        <f>-E9*'Fane 13. Nøgletal'!C17</f>
        <v>0</v>
      </c>
      <c r="F10" s="12" t="s">
        <v>3</v>
      </c>
      <c r="G10" s="1"/>
    </row>
    <row r="11" spans="1:7" x14ac:dyDescent="0.25">
      <c r="A11" s="1"/>
      <c r="B11" s="74" t="s">
        <v>98</v>
      </c>
      <c r="C11" s="75"/>
      <c r="D11" s="76"/>
      <c r="E11" s="10">
        <f>SUM(E9:E10)*(1+'Fane 13. Nøgletal'!C9)^3</f>
        <v>0</v>
      </c>
      <c r="F11" s="11" t="s">
        <v>3</v>
      </c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74" t="s">
        <v>95</v>
      </c>
      <c r="C13" s="75"/>
      <c r="D13" s="75"/>
      <c r="E13" s="75"/>
      <c r="F13" s="76"/>
      <c r="G13" s="1"/>
    </row>
    <row r="14" spans="1:7" x14ac:dyDescent="0.25">
      <c r="A14" s="1"/>
      <c r="B14" s="96" t="s">
        <v>93</v>
      </c>
      <c r="C14" s="97"/>
      <c r="D14" s="98"/>
      <c r="E14" s="8">
        <v>0</v>
      </c>
      <c r="F14" s="12" t="s">
        <v>3</v>
      </c>
      <c r="G14" s="1"/>
    </row>
    <row r="15" spans="1:7" x14ac:dyDescent="0.25">
      <c r="A15" s="1"/>
      <c r="B15" s="93" t="s">
        <v>137</v>
      </c>
      <c r="C15" s="94"/>
      <c r="D15" s="95"/>
      <c r="E15" s="8">
        <f>-E14*'Fane 13. Nøgletal'!C17</f>
        <v>0</v>
      </c>
      <c r="F15" s="12" t="s">
        <v>3</v>
      </c>
      <c r="G15" s="1"/>
    </row>
    <row r="16" spans="1:7" x14ac:dyDescent="0.25">
      <c r="A16" s="1"/>
      <c r="B16" s="74" t="s">
        <v>99</v>
      </c>
      <c r="C16" s="75"/>
      <c r="D16" s="76"/>
      <c r="E16" s="10">
        <f>SUM(E14:E15)*(1+'Fane 13. Nøgletal'!C12)^3</f>
        <v>0</v>
      </c>
      <c r="F16" s="1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74" t="s">
        <v>96</v>
      </c>
      <c r="C18" s="75"/>
      <c r="D18" s="75"/>
      <c r="E18" s="75"/>
      <c r="F18" s="76"/>
      <c r="G18" s="1"/>
    </row>
    <row r="19" spans="1:7" x14ac:dyDescent="0.25">
      <c r="A19" s="1"/>
      <c r="B19" s="96" t="s">
        <v>93</v>
      </c>
      <c r="C19" s="97"/>
      <c r="D19" s="98"/>
      <c r="E19" s="8">
        <v>0</v>
      </c>
      <c r="F19" s="12" t="s">
        <v>3</v>
      </c>
      <c r="G19" s="1"/>
    </row>
    <row r="20" spans="1:7" x14ac:dyDescent="0.25">
      <c r="A20" s="1"/>
      <c r="B20" s="93" t="s">
        <v>137</v>
      </c>
      <c r="C20" s="94"/>
      <c r="D20" s="95"/>
      <c r="E20" s="8">
        <f>-E19*'Fane 13. Nøgletal'!C17</f>
        <v>0</v>
      </c>
      <c r="F20" s="12" t="s">
        <v>3</v>
      </c>
      <c r="G20" s="1"/>
    </row>
    <row r="21" spans="1:7" x14ac:dyDescent="0.25">
      <c r="A21" s="1"/>
      <c r="B21" s="74" t="s">
        <v>100</v>
      </c>
      <c r="C21" s="75"/>
      <c r="D21" s="76"/>
      <c r="E21" s="10">
        <f>SUM(E19:E20)*(1+'Fane 13. Nøgletal'!C12)^4</f>
        <v>0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74" t="s">
        <v>97</v>
      </c>
      <c r="C23" s="75"/>
      <c r="D23" s="75"/>
      <c r="E23" s="75"/>
      <c r="F23" s="76"/>
      <c r="G23" s="1"/>
    </row>
    <row r="24" spans="1:7" ht="15" customHeight="1" x14ac:dyDescent="0.25">
      <c r="A24" s="1"/>
      <c r="B24" s="96" t="s">
        <v>93</v>
      </c>
      <c r="C24" s="97"/>
      <c r="D24" s="98"/>
      <c r="E24" s="8">
        <v>0</v>
      </c>
      <c r="F24" s="12" t="s">
        <v>3</v>
      </c>
      <c r="G24" s="1"/>
    </row>
    <row r="25" spans="1:7" x14ac:dyDescent="0.25">
      <c r="A25" s="1"/>
      <c r="B25" s="93" t="s">
        <v>137</v>
      </c>
      <c r="C25" s="94"/>
      <c r="D25" s="95"/>
      <c r="E25" s="8">
        <f>-E24*'Fane 13. Nøgletal'!C17</f>
        <v>0</v>
      </c>
      <c r="F25" s="12" t="s">
        <v>3</v>
      </c>
      <c r="G25" s="1"/>
    </row>
    <row r="26" spans="1:7" x14ac:dyDescent="0.25">
      <c r="A26" s="1"/>
      <c r="B26" s="74" t="s">
        <v>101</v>
      </c>
      <c r="C26" s="75"/>
      <c r="D26" s="76"/>
      <c r="E26" s="10">
        <f>SUM(E24:E25)*(1+'Fane 13. Nøgletal'!C12)^5</f>
        <v>0</v>
      </c>
      <c r="F26" s="11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ap64laPZPZ3I454Ee++17HEOV5OCgisly/WQuTxz+M7tIPWRKaDCTj/ps8yxX7dLj8RHqX4Dodpsv5ZMy4IeDQ==" saltValue="ar5tCjUh1eeUYgTKwkx6hA==" spinCount="100000" sheet="1" objects="1" scenarios="1"/>
  <mergeCells count="17">
    <mergeCell ref="B16:D16"/>
    <mergeCell ref="B18:F18"/>
    <mergeCell ref="B13:F13"/>
    <mergeCell ref="B26:D26"/>
    <mergeCell ref="B23:F23"/>
    <mergeCell ref="B24:D24"/>
    <mergeCell ref="B21:D21"/>
    <mergeCell ref="B19:D19"/>
    <mergeCell ref="B20:D20"/>
    <mergeCell ref="B25:D25"/>
    <mergeCell ref="B14:D14"/>
    <mergeCell ref="B11:D11"/>
    <mergeCell ref="B10:D10"/>
    <mergeCell ref="B15:D15"/>
    <mergeCell ref="B3:F5"/>
    <mergeCell ref="B8:F8"/>
    <mergeCell ref="B9:D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2.5703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146</v>
      </c>
      <c r="C3" s="84"/>
      <c r="D3" s="84"/>
      <c r="E3" s="84"/>
      <c r="F3" s="84"/>
      <c r="G3" s="1"/>
    </row>
    <row r="4" spans="1:7" ht="25.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4" t="s">
        <v>32</v>
      </c>
      <c r="C8" s="75"/>
      <c r="D8" s="75"/>
      <c r="E8" s="75"/>
      <c r="F8" s="76"/>
      <c r="G8" s="1"/>
    </row>
    <row r="9" spans="1:7" ht="15" customHeight="1" x14ac:dyDescent="0.25">
      <c r="A9" s="1"/>
      <c r="B9" s="45" t="s">
        <v>33</v>
      </c>
      <c r="C9" s="99" t="s">
        <v>15</v>
      </c>
      <c r="D9" s="100"/>
      <c r="E9" s="99" t="s">
        <v>42</v>
      </c>
      <c r="F9" s="100"/>
      <c r="G9" s="1"/>
    </row>
    <row r="10" spans="1:7" x14ac:dyDescent="0.25">
      <c r="A10" s="1"/>
      <c r="B10" s="22" t="s">
        <v>186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66</v>
      </c>
      <c r="C12" s="10">
        <f>C11*(1+'Fane 13. Nøgletal'!C12)</f>
        <v>0</v>
      </c>
      <c r="D12" s="11" t="s">
        <v>3</v>
      </c>
      <c r="E12" s="10">
        <f>E11*(1+'Fane 13.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bA67Tjv/SyVy8fLZ6I8HFsVA9zMTTqdvwhqc0ciC4FuXl49jyH2nk89v2FMkUmoG65vRrwKhzblNf9NNoJSa+A==" saltValue="mnQeAVPMWkMy+kysYgv0W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147</v>
      </c>
      <c r="C3" s="84"/>
      <c r="D3" s="84"/>
      <c r="E3" s="84"/>
      <c r="F3" s="84"/>
      <c r="G3" s="1"/>
    </row>
    <row r="4" spans="1:7" ht="25.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4" t="s">
        <v>103</v>
      </c>
      <c r="C8" s="75"/>
      <c r="D8" s="75"/>
      <c r="E8" s="75"/>
      <c r="F8" s="76"/>
      <c r="G8" s="1"/>
    </row>
    <row r="9" spans="1:7" ht="15" customHeight="1" x14ac:dyDescent="0.25">
      <c r="A9" s="1"/>
      <c r="B9" s="45" t="s">
        <v>25</v>
      </c>
      <c r="C9" s="45" t="s">
        <v>15</v>
      </c>
      <c r="D9" s="46"/>
      <c r="E9" s="45" t="s">
        <v>42</v>
      </c>
      <c r="F9" s="46"/>
      <c r="G9" s="1"/>
    </row>
    <row r="10" spans="1:7" x14ac:dyDescent="0.25">
      <c r="A10" s="1"/>
      <c r="B10" s="22" t="s">
        <v>187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7" t="s">
        <v>56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7" t="s">
        <v>65</v>
      </c>
      <c r="C12" s="10">
        <f>C11*(1+'Fane 13. Nøgletal'!C12)</f>
        <v>0</v>
      </c>
      <c r="D12" s="11" t="s">
        <v>3</v>
      </c>
      <c r="E12" s="10">
        <f>E11*(1+'Fane 13.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4" t="s">
        <v>104</v>
      </c>
      <c r="C14" s="75"/>
      <c r="D14" s="75"/>
      <c r="E14" s="75"/>
      <c r="F14" s="76"/>
      <c r="G14" s="1"/>
    </row>
    <row r="15" spans="1:7" ht="26.25" x14ac:dyDescent="0.25">
      <c r="A15" s="1"/>
      <c r="B15" s="45" t="s">
        <v>25</v>
      </c>
      <c r="C15" s="45" t="s">
        <v>15</v>
      </c>
      <c r="D15" s="46"/>
      <c r="E15" s="45" t="s">
        <v>42</v>
      </c>
      <c r="F15" s="46"/>
      <c r="G15" s="1"/>
    </row>
    <row r="16" spans="1:7" x14ac:dyDescent="0.25">
      <c r="A16" s="1"/>
      <c r="B16" s="22" t="s">
        <v>187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7" t="s">
        <v>56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7" t="s">
        <v>89</v>
      </c>
      <c r="C18" s="10">
        <f>C17*(1+'Fane 13. Nøgletal'!C12)^2</f>
        <v>0</v>
      </c>
      <c r="D18" s="11" t="s">
        <v>3</v>
      </c>
      <c r="E18" s="10">
        <f>E17*(1+'Fane 13.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4" t="s">
        <v>102</v>
      </c>
      <c r="C20" s="75"/>
      <c r="D20" s="75"/>
      <c r="E20" s="75"/>
      <c r="F20" s="76"/>
      <c r="G20" s="1"/>
    </row>
    <row r="21" spans="1:7" ht="26.25" x14ac:dyDescent="0.25">
      <c r="A21" s="1"/>
      <c r="B21" s="45" t="s">
        <v>25</v>
      </c>
      <c r="C21" s="45" t="s">
        <v>15</v>
      </c>
      <c r="D21" s="46"/>
      <c r="E21" s="45" t="s">
        <v>42</v>
      </c>
      <c r="F21" s="46"/>
      <c r="G21" s="1"/>
    </row>
    <row r="22" spans="1:7" x14ac:dyDescent="0.25">
      <c r="A22" s="1"/>
      <c r="B22" s="22" t="s">
        <v>187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7" t="s">
        <v>56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7" t="s">
        <v>90</v>
      </c>
      <c r="C24" s="10">
        <f>C23*(1+'Fane 13. Nøgletal'!C12)^3</f>
        <v>0</v>
      </c>
      <c r="D24" s="11" t="s">
        <v>3</v>
      </c>
      <c r="E24" s="10">
        <f>E23*(1+'Fane 13.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4" t="s">
        <v>105</v>
      </c>
      <c r="C26" s="75"/>
      <c r="D26" s="75"/>
      <c r="E26" s="75"/>
      <c r="F26" s="76"/>
      <c r="G26" s="1"/>
    </row>
    <row r="27" spans="1:7" ht="26.25" x14ac:dyDescent="0.25">
      <c r="A27" s="1"/>
      <c r="B27" s="45" t="s">
        <v>25</v>
      </c>
      <c r="C27" s="45" t="s">
        <v>15</v>
      </c>
      <c r="D27" s="46"/>
      <c r="E27" s="45" t="s">
        <v>42</v>
      </c>
      <c r="F27" s="46"/>
      <c r="G27" s="1"/>
    </row>
    <row r="28" spans="1:7" x14ac:dyDescent="0.25">
      <c r="A28" s="1"/>
      <c r="B28" s="22" t="s">
        <v>187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7" t="s">
        <v>56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7" t="s">
        <v>91</v>
      </c>
      <c r="C30" s="10">
        <f>C29*(1+'Fane 13. Nøgletal'!C12)^4</f>
        <v>0</v>
      </c>
      <c r="D30" s="11" t="s">
        <v>3</v>
      </c>
      <c r="E30" s="10">
        <f>E29*(1+'Fane 13.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dtMbt/ysQUTI6yquAzICErNvSHEXwXuyijmJnju72txMlW9xk4I3PdOwLxEKfnpLWIUQx7s3rWM+fIyIk8YYSQ==" saltValue="eErnzKibZ9r9Z03rBCYZL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148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4" t="s">
        <v>17</v>
      </c>
      <c r="C8" s="75"/>
      <c r="D8" s="75"/>
      <c r="E8" s="75"/>
      <c r="F8" s="75"/>
      <c r="G8" s="75"/>
      <c r="H8" s="76"/>
      <c r="I8" s="1"/>
    </row>
    <row r="9" spans="1:9" x14ac:dyDescent="0.25">
      <c r="A9" s="1"/>
      <c r="B9" s="101" t="s">
        <v>11</v>
      </c>
      <c r="C9" s="102"/>
      <c r="D9" s="102"/>
      <c r="E9" s="102"/>
      <c r="F9" s="103"/>
      <c r="G9" s="8">
        <v>-241739</v>
      </c>
      <c r="H9" s="12" t="s">
        <v>3</v>
      </c>
      <c r="I9" s="1"/>
    </row>
    <row r="10" spans="1:9" x14ac:dyDescent="0.25">
      <c r="A10" s="1"/>
      <c r="B10" s="101" t="s">
        <v>78</v>
      </c>
      <c r="C10" s="102"/>
      <c r="D10" s="102"/>
      <c r="E10" s="102"/>
      <c r="F10" s="103"/>
      <c r="G10" s="8">
        <v>0</v>
      </c>
      <c r="H10" s="12" t="s">
        <v>3</v>
      </c>
      <c r="I10" s="1"/>
    </row>
    <row r="11" spans="1:9" x14ac:dyDescent="0.25">
      <c r="A11" s="1"/>
      <c r="B11" s="101" t="s">
        <v>70</v>
      </c>
      <c r="C11" s="102"/>
      <c r="D11" s="102"/>
      <c r="E11" s="102"/>
      <c r="F11" s="103"/>
      <c r="G11" s="8">
        <v>241739</v>
      </c>
      <c r="H11" s="12" t="s">
        <v>3</v>
      </c>
      <c r="I11" s="1"/>
    </row>
    <row r="12" spans="1:9" x14ac:dyDescent="0.25">
      <c r="A12" s="1"/>
      <c r="B12" s="104" t="s">
        <v>14</v>
      </c>
      <c r="C12" s="105"/>
      <c r="D12" s="105"/>
      <c r="E12" s="105"/>
      <c r="F12" s="106"/>
      <c r="G12" s="17">
        <f>(G9+G10)+G11</f>
        <v>0</v>
      </c>
      <c r="H12" s="16" t="s">
        <v>3</v>
      </c>
      <c r="I12" s="1"/>
    </row>
    <row r="13" spans="1:9" x14ac:dyDescent="0.25">
      <c r="A13" s="1"/>
      <c r="B13" s="101" t="s">
        <v>12</v>
      </c>
      <c r="C13" s="102"/>
      <c r="D13" s="102"/>
      <c r="E13" s="102"/>
      <c r="F13" s="103"/>
      <c r="G13" s="8">
        <v>0</v>
      </c>
      <c r="H13" s="12" t="s">
        <v>27</v>
      </c>
      <c r="I13" s="1"/>
    </row>
    <row r="14" spans="1:9" x14ac:dyDescent="0.25">
      <c r="A14" s="1"/>
      <c r="B14" s="74" t="s">
        <v>79</v>
      </c>
      <c r="C14" s="75"/>
      <c r="D14" s="75"/>
      <c r="E14" s="75"/>
      <c r="F14" s="76"/>
      <c r="G14" s="10">
        <f>IF(G13 = 0,0,-G12/G13)</f>
        <v>0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ddFAbFkSZvoeMMndTGz8KiHqwWL9u2JCY5Vii2bGao9n25fClTSrPWEvuANBd8BzVk2qeKNjVfzJKiLR1RhskQ==" saltValue="I/S9cNybpfe6FXIKx3zJLA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4" t="s">
        <v>141</v>
      </c>
      <c r="C3" s="84"/>
      <c r="D3" s="1"/>
    </row>
    <row r="4" spans="1:4" ht="25.5" customHeight="1" x14ac:dyDescent="0.25">
      <c r="A4" s="1"/>
      <c r="B4" s="84"/>
      <c r="C4" s="84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7" t="s">
        <v>20</v>
      </c>
      <c r="C8" s="48"/>
      <c r="D8" s="1"/>
    </row>
    <row r="9" spans="1:4" x14ac:dyDescent="0.25">
      <c r="A9" s="1"/>
      <c r="B9" s="30" t="s">
        <v>161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63</v>
      </c>
      <c r="C12" s="33">
        <v>1.9699999999999999E-2</v>
      </c>
      <c r="D12" s="1"/>
    </row>
    <row r="13" spans="1:4" x14ac:dyDescent="0.25">
      <c r="A13" s="1"/>
      <c r="B13" s="47"/>
      <c r="C13" s="48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7" t="s">
        <v>137</v>
      </c>
      <c r="C16" s="48"/>
      <c r="D16" s="1"/>
    </row>
    <row r="17" spans="1:4" x14ac:dyDescent="0.25">
      <c r="A17" s="1"/>
      <c r="B17" s="30" t="s">
        <v>162</v>
      </c>
      <c r="C17" s="23">
        <v>1.7000000000000001E-2</v>
      </c>
      <c r="D17" s="1"/>
    </row>
    <row r="18" spans="1:4" x14ac:dyDescent="0.25">
      <c r="A18" s="1"/>
      <c r="B18" s="107"/>
      <c r="C18" s="108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Hno5R/dOpQymxoWDYU1W98E5SGsL32VVFIRQqj6guKFlQ1XMEQs1jhD/uta2R2dukMNzLeLYfFnUKf7qI+EDsg==" saltValue="cvM23WxoZEdxvvEYde1o2A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57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x14ac:dyDescent="0.25">
      <c r="A9" s="1"/>
      <c r="B9" s="37" t="s">
        <v>35</v>
      </c>
      <c r="C9" s="37"/>
      <c r="D9" s="37"/>
      <c r="E9" s="7">
        <f>'Fane 3. Omkostninger i ØR2019'!$E$15</f>
        <v>4619463.7046869416</v>
      </c>
      <c r="F9" s="37" t="s">
        <v>3</v>
      </c>
      <c r="G9" s="1"/>
    </row>
    <row r="10" spans="1:7" x14ac:dyDescent="0.25">
      <c r="A10" s="1"/>
      <c r="B10" s="39" t="s">
        <v>169</v>
      </c>
      <c r="C10" s="37"/>
      <c r="D10" s="37"/>
      <c r="E10" s="7">
        <f>'Fane 3. Omkostninger i ØR2019'!$E$10*(1-'Fane 13. Nøgletal'!C17)*(1+'Fane 13. Nøgletal'!C10)</f>
        <v>0</v>
      </c>
      <c r="F10" s="37" t="s">
        <v>3</v>
      </c>
      <c r="G10" s="1"/>
    </row>
    <row r="11" spans="1:7" x14ac:dyDescent="0.25">
      <c r="A11" s="1"/>
      <c r="B11" s="39" t="s">
        <v>172</v>
      </c>
      <c r="C11" s="37"/>
      <c r="D11" s="37"/>
      <c r="E11" s="7">
        <f>('Fane 3. Omkostninger i ØR2019'!$E$11+'Fane 3. Omkostninger i ØR2019'!$E$12)*(1-'Fane 13. Nøgletal'!C17)*(1+'Fane 13. Nøgletal'!C11)</f>
        <v>0</v>
      </c>
      <c r="F11" s="37" t="s">
        <v>3</v>
      </c>
      <c r="G11" s="1"/>
    </row>
    <row r="12" spans="1:7" ht="17.100000000000001" customHeight="1" x14ac:dyDescent="0.25">
      <c r="A12" s="1"/>
      <c r="B12" s="31" t="s">
        <v>170</v>
      </c>
      <c r="C12" s="37"/>
      <c r="D12" s="37"/>
      <c r="E12" s="7">
        <f>'Fane 8.1. Varige tillæg'!C12+'Fane 8.1. Varige tillæg'!E12</f>
        <v>0</v>
      </c>
      <c r="F12" s="37" t="s">
        <v>3</v>
      </c>
      <c r="G12" s="1"/>
    </row>
    <row r="13" spans="1:7" ht="17.100000000000001" customHeight="1" x14ac:dyDescent="0.25">
      <c r="A13" s="1"/>
      <c r="B13" s="31" t="s">
        <v>171</v>
      </c>
      <c r="C13" s="37"/>
      <c r="D13" s="37"/>
      <c r="E13" s="8">
        <f>-('Fane 11. Bortfald'!C12+'Fane 11. Bortfald'!E12)</f>
        <v>0</v>
      </c>
      <c r="F13" s="37" t="s">
        <v>3</v>
      </c>
      <c r="G13" s="1"/>
    </row>
    <row r="14" spans="1:7" ht="17.100000000000001" customHeight="1" x14ac:dyDescent="0.25">
      <c r="A14" s="1"/>
      <c r="B14" s="31" t="s">
        <v>130</v>
      </c>
      <c r="C14" s="37"/>
      <c r="D14" s="37"/>
      <c r="E14" s="8">
        <f>'Fane 10. Tilknyttet aktivitet'!C12+'Fane 10. Tilknyttet aktivitet'!E12</f>
        <v>0</v>
      </c>
      <c r="F14" s="37" t="s">
        <v>3</v>
      </c>
      <c r="G14" s="1"/>
    </row>
    <row r="15" spans="1:7" ht="17.100000000000001" customHeight="1" x14ac:dyDescent="0.25">
      <c r="A15" s="1"/>
      <c r="B15" s="31" t="s">
        <v>26</v>
      </c>
      <c r="C15" s="37"/>
      <c r="D15" s="37"/>
      <c r="E15" s="8">
        <f>(E9-SUM(E10:E11))*'Fane 13. Nøgletal'!C9+E10*'Fane 13. Nøgletal'!C10+E11*'Fane 13. Nøgletal'!C11+SUM(E12:E14)*'Fane 13. Nøgletal'!C12</f>
        <v>58667.189049524153</v>
      </c>
      <c r="F15" s="37" t="s">
        <v>3</v>
      </c>
      <c r="G15" s="1"/>
    </row>
    <row r="16" spans="1:7" ht="17.100000000000001" customHeight="1" x14ac:dyDescent="0.25">
      <c r="A16" s="1"/>
      <c r="B16" s="31" t="s">
        <v>137</v>
      </c>
      <c r="C16" s="37"/>
      <c r="D16" s="37"/>
      <c r="E16" s="8">
        <f>-SUM(E9,E12:E15)*'Fane 13. Nøgletal'!C17</f>
        <v>-79528.225193519931</v>
      </c>
      <c r="F16" s="37" t="s">
        <v>3</v>
      </c>
      <c r="G16" s="1"/>
    </row>
    <row r="17" spans="1:7" ht="17.100000000000001" customHeight="1" x14ac:dyDescent="0.25">
      <c r="A17" s="1"/>
      <c r="B17" s="43" t="s">
        <v>28</v>
      </c>
      <c r="C17" s="41"/>
      <c r="D17" s="41"/>
      <c r="E17" s="9">
        <f>SUM(E9,E12:E16)</f>
        <v>4598602.6685429458</v>
      </c>
      <c r="F17" s="40" t="s">
        <v>3</v>
      </c>
      <c r="G17" s="1"/>
    </row>
    <row r="18" spans="1:7" ht="15" customHeight="1" x14ac:dyDescent="0.25">
      <c r="A18" s="1"/>
      <c r="B18" s="42" t="s">
        <v>16</v>
      </c>
      <c r="C18" s="42"/>
      <c r="D18" s="42"/>
      <c r="E18" s="42"/>
      <c r="F18" s="42"/>
      <c r="G18" s="1"/>
    </row>
    <row r="19" spans="1:7" ht="15" customHeight="1" x14ac:dyDescent="0.25">
      <c r="A19" s="1"/>
      <c r="B19" s="40" t="s">
        <v>16</v>
      </c>
      <c r="C19" s="40"/>
      <c r="D19" s="40"/>
      <c r="E19" s="9">
        <f>'Fane 4. Ikke-påvirkelige omk.'!C14+'Fane 4. Ikke-påvirkelige omk.'!C18+'Fane 4. Ikke-påvirkelige omk.'!C26</f>
        <v>521907.07474224002</v>
      </c>
      <c r="F19" s="40" t="s">
        <v>3</v>
      </c>
      <c r="G19" s="1"/>
    </row>
    <row r="20" spans="1:7" ht="15" customHeight="1" x14ac:dyDescent="0.25">
      <c r="A20" s="1"/>
      <c r="B20" s="42" t="s">
        <v>86</v>
      </c>
      <c r="C20" s="42"/>
      <c r="D20" s="42"/>
      <c r="E20" s="42"/>
      <c r="F20" s="42"/>
      <c r="G20" s="1"/>
    </row>
    <row r="21" spans="1:7" ht="15" customHeight="1" x14ac:dyDescent="0.25">
      <c r="A21" s="1"/>
      <c r="B21" s="43" t="s">
        <v>86</v>
      </c>
      <c r="C21" s="41"/>
      <c r="D21" s="41"/>
      <c r="E21" s="9">
        <f>'Fane 9. Periodevise driftsomk.'!E11</f>
        <v>0</v>
      </c>
      <c r="F21" s="40" t="s">
        <v>3</v>
      </c>
      <c r="G21" s="1"/>
    </row>
    <row r="22" spans="1:7" ht="15" customHeight="1" x14ac:dyDescent="0.25">
      <c r="A22" s="1"/>
      <c r="B22" s="42" t="s">
        <v>85</v>
      </c>
      <c r="C22" s="42"/>
      <c r="D22" s="42"/>
      <c r="E22" s="42"/>
      <c r="F22" s="42"/>
      <c r="G22" s="1"/>
    </row>
    <row r="23" spans="1:7" ht="15" customHeight="1" x14ac:dyDescent="0.25">
      <c r="A23" s="1"/>
      <c r="B23" s="31" t="s">
        <v>81</v>
      </c>
      <c r="C23" s="37"/>
      <c r="D23" s="37"/>
      <c r="E23" s="8">
        <f>'Fane 8.2. Engangstillæg'!C13</f>
        <v>0</v>
      </c>
      <c r="F23" s="37" t="s">
        <v>3</v>
      </c>
      <c r="G23" s="1"/>
    </row>
    <row r="24" spans="1:7" ht="15" customHeight="1" x14ac:dyDescent="0.25">
      <c r="A24" s="1"/>
      <c r="B24" s="31" t="s">
        <v>82</v>
      </c>
      <c r="C24" s="37"/>
      <c r="D24" s="37"/>
      <c r="E24" s="8">
        <f>'Fane 8.2. Engangstillæg'!E13</f>
        <v>0</v>
      </c>
      <c r="F24" s="37" t="s">
        <v>3</v>
      </c>
      <c r="G24" s="1"/>
    </row>
    <row r="25" spans="1:7" x14ac:dyDescent="0.25">
      <c r="A25" s="1"/>
      <c r="B25" s="43" t="s">
        <v>88</v>
      </c>
      <c r="C25" s="41"/>
      <c r="D25" s="41"/>
      <c r="E25" s="9">
        <f>SUM(E23:E24)</f>
        <v>0</v>
      </c>
      <c r="F25" s="40" t="s">
        <v>3</v>
      </c>
      <c r="G25" s="1"/>
    </row>
    <row r="26" spans="1:7" x14ac:dyDescent="0.25">
      <c r="A26" s="1"/>
      <c r="B26" s="42" t="s">
        <v>10</v>
      </c>
      <c r="C26" s="42"/>
      <c r="D26" s="42"/>
      <c r="E26" s="42"/>
      <c r="F26" s="42"/>
      <c r="G26" s="1"/>
    </row>
    <row r="27" spans="1:7" ht="15" customHeight="1" x14ac:dyDescent="0.25">
      <c r="A27" s="1"/>
      <c r="B27" s="40" t="s">
        <v>18</v>
      </c>
      <c r="C27" s="40"/>
      <c r="D27" s="40"/>
      <c r="E27" s="9">
        <f>'Fane 12. Hist. over-underdæk.'!G14</f>
        <v>0</v>
      </c>
      <c r="F27" s="40" t="s">
        <v>3</v>
      </c>
      <c r="G27" s="1"/>
    </row>
    <row r="28" spans="1:7" ht="15" customHeight="1" x14ac:dyDescent="0.25">
      <c r="A28" s="1"/>
      <c r="B28" s="42" t="s">
        <v>179</v>
      </c>
      <c r="C28" s="42"/>
      <c r="D28" s="42"/>
      <c r="E28" s="42"/>
      <c r="F28" s="42"/>
      <c r="G28" s="1"/>
    </row>
    <row r="29" spans="1:7" x14ac:dyDescent="0.25">
      <c r="A29" s="1"/>
      <c r="B29" s="40" t="s">
        <v>180</v>
      </c>
      <c r="C29" s="40"/>
      <c r="D29" s="40"/>
      <c r="E29" s="9">
        <f>'Fane 6. Korrektioner'!E20</f>
        <v>0</v>
      </c>
      <c r="F29" s="40" t="s">
        <v>3</v>
      </c>
      <c r="G29" s="1"/>
    </row>
    <row r="30" spans="1:7" x14ac:dyDescent="0.25">
      <c r="A30" s="1"/>
      <c r="B30" s="42" t="s">
        <v>36</v>
      </c>
      <c r="C30" s="42"/>
      <c r="D30" s="42"/>
      <c r="E30" s="10">
        <f>SUM(E17,E19,E21,E25,E27,E29)</f>
        <v>5120509.7432851857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VWNd7sFfFO9yPkK3xOJ25gs1q2i5D12y308dOUHT8Dh6gb33o2SkBtxCksBYSPWiWfHtlbYnBMvklAWwbTvxdA==" saltValue="dmeq9V8Wooknejt05LK35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74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68" t="s">
        <v>29</v>
      </c>
      <c r="C5" s="68"/>
      <c r="D5" s="68"/>
      <c r="E5" s="68"/>
      <c r="F5" s="6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ht="15" customHeight="1" x14ac:dyDescent="0.25">
      <c r="A9" s="1"/>
      <c r="B9" s="37" t="s">
        <v>37</v>
      </c>
      <c r="C9" s="37"/>
      <c r="D9" s="37"/>
      <c r="E9" s="7">
        <f>'Fane 2.1. Økonomisk ramme 2020'!E17</f>
        <v>4598602.6685429458</v>
      </c>
      <c r="F9" s="37" t="s">
        <v>3</v>
      </c>
      <c r="G9" s="1"/>
    </row>
    <row r="10" spans="1:7" ht="15" customHeight="1" x14ac:dyDescent="0.25">
      <c r="A10" s="1"/>
      <c r="B10" s="37" t="s">
        <v>192</v>
      </c>
      <c r="C10" s="37"/>
      <c r="D10" s="37"/>
      <c r="E10" s="7">
        <v>-181338.82457987181</v>
      </c>
      <c r="F10" s="37" t="s">
        <v>3</v>
      </c>
      <c r="G10" s="1"/>
    </row>
    <row r="11" spans="1:7" ht="15" customHeight="1" x14ac:dyDescent="0.25">
      <c r="A11" s="1"/>
      <c r="B11" s="31" t="s">
        <v>171</v>
      </c>
      <c r="C11" s="37"/>
      <c r="D11" s="37"/>
      <c r="E11" s="7">
        <f>-('Fane 11. Bortfald'!C18+'Fane 11. Bortfald'!E18)</f>
        <v>0</v>
      </c>
      <c r="F11" s="37" t="s">
        <v>3</v>
      </c>
      <c r="G11" s="1"/>
    </row>
    <row r="12" spans="1:7" ht="15" customHeight="1" x14ac:dyDescent="0.25">
      <c r="A12" s="1"/>
      <c r="B12" s="38" t="s">
        <v>26</v>
      </c>
      <c r="C12" s="37"/>
      <c r="D12" s="37"/>
      <c r="E12" s="8">
        <f>SUM(E9:E11)*'Fane 13. Nøgletal'!C12</f>
        <v>87020.097726072549</v>
      </c>
      <c r="F12" s="37" t="s">
        <v>3</v>
      </c>
      <c r="G12" s="1"/>
    </row>
    <row r="13" spans="1:7" ht="15" customHeight="1" x14ac:dyDescent="0.25">
      <c r="A13" s="1"/>
      <c r="B13" s="38" t="s">
        <v>137</v>
      </c>
      <c r="C13" s="37"/>
      <c r="D13" s="37"/>
      <c r="E13" s="8">
        <f>-SUM(E9:E12)*'Fane 13. Nøgletal'!C17</f>
        <v>-76572.827008715481</v>
      </c>
      <c r="F13" s="37" t="s">
        <v>3</v>
      </c>
      <c r="G13" s="1"/>
    </row>
    <row r="14" spans="1:7" ht="15" customHeight="1" x14ac:dyDescent="0.25">
      <c r="A14" s="1"/>
      <c r="B14" s="41" t="s">
        <v>28</v>
      </c>
      <c r="C14" s="41"/>
      <c r="D14" s="41"/>
      <c r="E14" s="9">
        <f>SUM(E9:E13)</f>
        <v>4427711.1146804299</v>
      </c>
      <c r="F14" s="40" t="s">
        <v>3</v>
      </c>
      <c r="G14" s="1"/>
    </row>
    <row r="15" spans="1:7" x14ac:dyDescent="0.25">
      <c r="A15" s="1"/>
      <c r="B15" s="42" t="s">
        <v>16</v>
      </c>
      <c r="C15" s="42"/>
      <c r="D15" s="42"/>
      <c r="E15" s="42"/>
      <c r="F15" s="42"/>
      <c r="G15" s="1"/>
    </row>
    <row r="16" spans="1:7" ht="15" customHeight="1" x14ac:dyDescent="0.25">
      <c r="A16" s="1"/>
      <c r="B16" s="40" t="s">
        <v>16</v>
      </c>
      <c r="C16" s="40"/>
      <c r="D16" s="40"/>
      <c r="E16" s="9">
        <f>'Fane 4. Ikke-påvirkelige omk.'!C14*(1+'Fane 13. Nøgletal'!C12)+'Fane 4. Ikke-påvirkelige omk.'!C19+'Fane 4. Ikke-påvirkelige omk.'!C27</f>
        <v>532188.64411466219</v>
      </c>
      <c r="F16" s="40" t="s">
        <v>3</v>
      </c>
      <c r="G16" s="1"/>
    </row>
    <row r="17" spans="1:7" ht="15" customHeight="1" x14ac:dyDescent="0.25">
      <c r="A17" s="1"/>
      <c r="B17" s="42" t="s">
        <v>86</v>
      </c>
      <c r="C17" s="42"/>
      <c r="D17" s="42"/>
      <c r="E17" s="42"/>
      <c r="F17" s="42"/>
      <c r="G17" s="1"/>
    </row>
    <row r="18" spans="1:7" ht="15" customHeight="1" x14ac:dyDescent="0.25">
      <c r="A18" s="1"/>
      <c r="B18" s="43" t="s">
        <v>87</v>
      </c>
      <c r="C18" s="41"/>
      <c r="D18" s="41"/>
      <c r="E18" s="9">
        <f>'Fane 9. Periodevise driftsomk.'!E16</f>
        <v>0</v>
      </c>
      <c r="F18" s="40" t="s">
        <v>3</v>
      </c>
      <c r="G18" s="1"/>
    </row>
    <row r="19" spans="1:7" ht="15" customHeight="1" x14ac:dyDescent="0.25">
      <c r="A19" s="1"/>
      <c r="B19" s="42" t="s">
        <v>85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1" t="s">
        <v>81</v>
      </c>
      <c r="C20" s="37"/>
      <c r="D20" s="37"/>
      <c r="E20" s="8">
        <f>'Fane 8.2. Engangstillæg'!C20</f>
        <v>0</v>
      </c>
      <c r="F20" s="37" t="s">
        <v>3</v>
      </c>
      <c r="G20" s="1"/>
    </row>
    <row r="21" spans="1:7" ht="15" customHeight="1" x14ac:dyDescent="0.25">
      <c r="A21" s="1"/>
      <c r="B21" s="31" t="s">
        <v>82</v>
      </c>
      <c r="C21" s="37"/>
      <c r="D21" s="37"/>
      <c r="E21" s="8">
        <f>'Fane 8.2. Engangstillæg'!E20</f>
        <v>0</v>
      </c>
      <c r="F21" s="37" t="s">
        <v>3</v>
      </c>
      <c r="G21" s="1"/>
    </row>
    <row r="22" spans="1:7" ht="15" customHeight="1" x14ac:dyDescent="0.25">
      <c r="A22" s="1"/>
      <c r="B22" s="43" t="s">
        <v>88</v>
      </c>
      <c r="C22" s="41"/>
      <c r="D22" s="41"/>
      <c r="E22" s="9">
        <f>SUM(E20:E21)</f>
        <v>0</v>
      </c>
      <c r="F22" s="40" t="s">
        <v>3</v>
      </c>
      <c r="G22" s="1"/>
    </row>
    <row r="23" spans="1:7" x14ac:dyDescent="0.25">
      <c r="A23" s="1"/>
      <c r="B23" s="42" t="s">
        <v>107</v>
      </c>
      <c r="C23" s="42"/>
      <c r="D23" s="42"/>
      <c r="E23" s="42"/>
      <c r="F23" s="42"/>
      <c r="G23" s="1"/>
    </row>
    <row r="24" spans="1:7" ht="15" customHeight="1" x14ac:dyDescent="0.25">
      <c r="A24" s="1"/>
      <c r="B24" s="40" t="s">
        <v>159</v>
      </c>
      <c r="C24" s="40"/>
      <c r="D24" s="40"/>
      <c r="E24" s="9">
        <f>'Fane 5. Kontrol af ØR2018'!E35</f>
        <v>-208813.15423755924</v>
      </c>
      <c r="F24" s="40" t="s">
        <v>3</v>
      </c>
      <c r="G24" s="1"/>
    </row>
    <row r="25" spans="1:7" x14ac:dyDescent="0.25">
      <c r="A25" s="1"/>
      <c r="B25" s="42" t="s">
        <v>39</v>
      </c>
      <c r="C25" s="42"/>
      <c r="D25" s="42"/>
      <c r="E25" s="10">
        <f>SUM(E14,E16,E18,E22,E24)</f>
        <v>4751086.6045575328</v>
      </c>
      <c r="F25" s="1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</sheetData>
  <sheetProtection algorithmName="SHA-512" hashValue="n3Koe5bG/DDy/OpfJh5F0rNNKxfdAbfjz8K6W5dtQYALnrLE0GzyBTxugqgIhoLf3517gAbTIR4YNKP1Nw2hdA==" saltValue="2FlaS0IgEGLj4tsNwt0i6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174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68" t="s">
        <v>29</v>
      </c>
      <c r="C5" s="68"/>
      <c r="D5" s="68"/>
      <c r="E5" s="68"/>
      <c r="F5" s="6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7" t="s">
        <v>37</v>
      </c>
      <c r="C8" s="37"/>
      <c r="D8" s="37"/>
      <c r="E8" s="7">
        <f>'Fane 2.2. Økonomisk ramme 2021'!E14</f>
        <v>4427711.1146804299</v>
      </c>
      <c r="F8" s="37" t="s">
        <v>3</v>
      </c>
      <c r="G8" s="1"/>
    </row>
    <row r="9" spans="1:7" ht="15" customHeight="1" x14ac:dyDescent="0.25">
      <c r="A9" s="1"/>
      <c r="B9" s="37" t="s">
        <v>171</v>
      </c>
      <c r="C9" s="37"/>
      <c r="D9" s="37"/>
      <c r="E9" s="7">
        <f>-('Fane 11. Bortfald'!C24+'Fane 11. Bortfald'!E24)</f>
        <v>0</v>
      </c>
      <c r="F9" s="37" t="s">
        <v>3</v>
      </c>
      <c r="G9" s="1"/>
    </row>
    <row r="10" spans="1:7" ht="15" customHeight="1" x14ac:dyDescent="0.25">
      <c r="A10" s="1"/>
      <c r="B10" s="38" t="s">
        <v>26</v>
      </c>
      <c r="C10" s="37"/>
      <c r="D10" s="37"/>
      <c r="E10" s="8">
        <f>SUM(E8:E9)*'Fane 13. Nøgletal'!C12</f>
        <v>87225.908959204462</v>
      </c>
      <c r="F10" s="37" t="s">
        <v>3</v>
      </c>
      <c r="G10" s="1"/>
    </row>
    <row r="11" spans="1:7" ht="15" customHeight="1" x14ac:dyDescent="0.25">
      <c r="A11" s="1"/>
      <c r="B11" s="38" t="s">
        <v>137</v>
      </c>
      <c r="C11" s="37"/>
      <c r="D11" s="37"/>
      <c r="E11" s="8">
        <f>-SUM(E8:E10)*'Fane 13. Nøgletal'!C17</f>
        <v>-76753.929401873786</v>
      </c>
      <c r="F11" s="37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4438183.0942377606</v>
      </c>
      <c r="F12" s="40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40" t="s">
        <v>16</v>
      </c>
      <c r="C14" s="40"/>
      <c r="D14" s="40"/>
      <c r="E14" s="9">
        <f>'Fane 4. Ikke-påvirkelige omk.'!C14*(1+'Fane 13. Nøgletal'!C12)^2+'Fane 4. Ikke-påvirkelige omk.'!C20+'Fane 4. Ikke-påvirkelige omk.'!C28</f>
        <v>542672.76040372101</v>
      </c>
      <c r="F14" s="40" t="s">
        <v>3</v>
      </c>
      <c r="G14" s="1"/>
    </row>
    <row r="15" spans="1:7" ht="15" customHeight="1" x14ac:dyDescent="0.25">
      <c r="A15" s="1"/>
      <c r="B15" s="42" t="s">
        <v>86</v>
      </c>
      <c r="C15" s="42"/>
      <c r="D15" s="42"/>
      <c r="E15" s="42"/>
      <c r="F15" s="42"/>
      <c r="G15" s="1"/>
    </row>
    <row r="16" spans="1:7" ht="15" customHeight="1" x14ac:dyDescent="0.25">
      <c r="A16" s="1"/>
      <c r="B16" s="43" t="s">
        <v>87</v>
      </c>
      <c r="C16" s="41"/>
      <c r="D16" s="41"/>
      <c r="E16" s="9">
        <f>'Fane 9. Periodevise driftsomk.'!E21</f>
        <v>0</v>
      </c>
      <c r="F16" s="40" t="s">
        <v>3</v>
      </c>
      <c r="G16" s="1"/>
    </row>
    <row r="17" spans="1:7" ht="15" customHeight="1" x14ac:dyDescent="0.25">
      <c r="A17" s="1"/>
      <c r="B17" s="42" t="s">
        <v>85</v>
      </c>
      <c r="C17" s="42"/>
      <c r="D17" s="42"/>
      <c r="E17" s="42"/>
      <c r="F17" s="42"/>
      <c r="G17" s="1"/>
    </row>
    <row r="18" spans="1:7" ht="15" customHeight="1" x14ac:dyDescent="0.25">
      <c r="A18" s="1"/>
      <c r="B18" s="31" t="s">
        <v>81</v>
      </c>
      <c r="C18" s="37"/>
      <c r="D18" s="37"/>
      <c r="E18" s="8">
        <f>'Fane 8.2. Engangstillæg'!C27</f>
        <v>0</v>
      </c>
      <c r="F18" s="37" t="s">
        <v>3</v>
      </c>
      <c r="G18" s="1"/>
    </row>
    <row r="19" spans="1:7" ht="15" customHeight="1" x14ac:dyDescent="0.25">
      <c r="A19" s="1"/>
      <c r="B19" s="31" t="s">
        <v>82</v>
      </c>
      <c r="C19" s="37"/>
      <c r="D19" s="37"/>
      <c r="E19" s="8">
        <f>'Fane 8.2. Engangstillæg'!E27</f>
        <v>0</v>
      </c>
      <c r="F19" s="37" t="s">
        <v>3</v>
      </c>
      <c r="G19" s="1"/>
    </row>
    <row r="20" spans="1:7" ht="15" customHeight="1" x14ac:dyDescent="0.25">
      <c r="A20" s="1"/>
      <c r="B20" s="43" t="s">
        <v>88</v>
      </c>
      <c r="C20" s="41"/>
      <c r="D20" s="41"/>
      <c r="E20" s="9">
        <f>SUM(E18:E19)</f>
        <v>0</v>
      </c>
      <c r="F20" s="40" t="s">
        <v>3</v>
      </c>
      <c r="G20" s="1"/>
    </row>
    <row r="21" spans="1:7" ht="15" customHeight="1" x14ac:dyDescent="0.25">
      <c r="A21" s="1"/>
      <c r="B21" s="42" t="s">
        <v>107</v>
      </c>
      <c r="C21" s="42"/>
      <c r="D21" s="42"/>
      <c r="E21" s="42"/>
      <c r="F21" s="42"/>
      <c r="G21" s="1"/>
    </row>
    <row r="22" spans="1:7" ht="15" customHeight="1" x14ac:dyDescent="0.25">
      <c r="A22" s="1"/>
      <c r="B22" s="40" t="s">
        <v>159</v>
      </c>
      <c r="C22" s="40"/>
      <c r="D22" s="40"/>
      <c r="E22" s="9">
        <f>'Fane 2.2. Økonomisk ramme 2021'!E24</f>
        <v>-208813.15423755924</v>
      </c>
      <c r="F22" s="40" t="s">
        <v>3</v>
      </c>
      <c r="G22" s="1"/>
    </row>
    <row r="23" spans="1:7" x14ac:dyDescent="0.25">
      <c r="A23" s="1"/>
      <c r="B23" s="42" t="s">
        <v>40</v>
      </c>
      <c r="C23" s="42"/>
      <c r="D23" s="42"/>
      <c r="E23" s="10">
        <f>SUM(E12,E14,E16,E20,E22)</f>
        <v>4772042.7004039222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zf9mpJR99XlDRfAKth+QsT7LtjJ/tDbaFZksUOMo9unSd/Nn9pgpaRNZkOPcwStw/r4GOVSQkkFZRX6dgkUzuA==" saltValue="lo/26FwVb6EWJwctTSzyh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173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68" t="s">
        <v>29</v>
      </c>
      <c r="C5" s="68"/>
      <c r="D5" s="68"/>
      <c r="E5" s="68"/>
      <c r="F5" s="6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7" t="s">
        <v>38</v>
      </c>
      <c r="C8" s="37"/>
      <c r="D8" s="37"/>
      <c r="E8" s="7">
        <f>'Fane 2.3. Økonomisk ramme 2022'!E12</f>
        <v>4438183.0942377606</v>
      </c>
      <c r="F8" s="37" t="s">
        <v>3</v>
      </c>
      <c r="G8" s="1"/>
    </row>
    <row r="9" spans="1:7" ht="15" customHeight="1" x14ac:dyDescent="0.25">
      <c r="A9" s="1"/>
      <c r="B9" s="37" t="s">
        <v>171</v>
      </c>
      <c r="C9" s="37"/>
      <c r="D9" s="37"/>
      <c r="E9" s="7">
        <f>-('Fane 11. Bortfald'!C30+'Fane 11. Bortfald'!E30)</f>
        <v>0</v>
      </c>
      <c r="F9" s="37" t="s">
        <v>3</v>
      </c>
      <c r="G9" s="1"/>
    </row>
    <row r="10" spans="1:7" ht="15" customHeight="1" x14ac:dyDescent="0.25">
      <c r="A10" s="1"/>
      <c r="B10" s="38" t="s">
        <v>26</v>
      </c>
      <c r="C10" s="37"/>
      <c r="D10" s="37"/>
      <c r="E10" s="8">
        <f>E8*'Fane 13. Nøgletal'!C12</f>
        <v>87432.206956483875</v>
      </c>
      <c r="F10" s="37" t="s">
        <v>3</v>
      </c>
      <c r="G10" s="1"/>
    </row>
    <row r="11" spans="1:7" ht="15" customHeight="1" x14ac:dyDescent="0.25">
      <c r="A11" s="1"/>
      <c r="B11" s="38" t="s">
        <v>137</v>
      </c>
      <c r="C11" s="37"/>
      <c r="D11" s="37"/>
      <c r="E11" s="8">
        <f>-SUM(E8:E10)*'Fane 13. Nøgletal'!C17</f>
        <v>-76935.460120302159</v>
      </c>
      <c r="F11" s="37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4448679.8410739414</v>
      </c>
      <c r="F12" s="40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40" t="s">
        <v>16</v>
      </c>
      <c r="C14" s="40"/>
      <c r="D14" s="40"/>
      <c r="E14" s="9">
        <f>'Fane 4. Ikke-påvirkelige omk.'!C14*(1+'Fane 13. Nøgletal'!C12)^3+'Fane 4. Ikke-påvirkelige omk.'!C21+'Fane 4. Ikke-påvirkelige omk.'!C29</f>
        <v>553363.41378367436</v>
      </c>
      <c r="F14" s="40" t="s">
        <v>3</v>
      </c>
      <c r="G14" s="1"/>
    </row>
    <row r="15" spans="1:7" ht="15" customHeight="1" x14ac:dyDescent="0.25">
      <c r="A15" s="1"/>
      <c r="B15" s="42" t="s">
        <v>86</v>
      </c>
      <c r="C15" s="42"/>
      <c r="D15" s="42"/>
      <c r="E15" s="42"/>
      <c r="F15" s="42"/>
      <c r="G15" s="1"/>
    </row>
    <row r="16" spans="1:7" ht="15" customHeight="1" x14ac:dyDescent="0.25">
      <c r="A16" s="1"/>
      <c r="B16" s="43" t="s">
        <v>87</v>
      </c>
      <c r="C16" s="41"/>
      <c r="D16" s="41"/>
      <c r="E16" s="9">
        <f>'Fane 9. Periodevise driftsomk.'!E26</f>
        <v>0</v>
      </c>
      <c r="F16" s="40" t="s">
        <v>3</v>
      </c>
      <c r="G16" s="1"/>
    </row>
    <row r="17" spans="1:7" ht="15" customHeight="1" x14ac:dyDescent="0.25">
      <c r="A17" s="1"/>
      <c r="B17" s="42" t="s">
        <v>85</v>
      </c>
      <c r="C17" s="42"/>
      <c r="D17" s="42"/>
      <c r="E17" s="42"/>
      <c r="F17" s="42"/>
      <c r="G17" s="1"/>
    </row>
    <row r="18" spans="1:7" ht="15" customHeight="1" x14ac:dyDescent="0.25">
      <c r="A18" s="1"/>
      <c r="B18" s="31" t="s">
        <v>81</v>
      </c>
      <c r="C18" s="37"/>
      <c r="D18" s="37"/>
      <c r="E18" s="8">
        <f>'Fane 8.2. Engangstillæg'!C34</f>
        <v>0</v>
      </c>
      <c r="F18" s="37" t="s">
        <v>3</v>
      </c>
      <c r="G18" s="1"/>
    </row>
    <row r="19" spans="1:7" ht="15" customHeight="1" x14ac:dyDescent="0.25">
      <c r="A19" s="1"/>
      <c r="B19" s="31" t="s">
        <v>82</v>
      </c>
      <c r="C19" s="37"/>
      <c r="D19" s="37"/>
      <c r="E19" s="8">
        <f>'Fane 8.2. Engangstillæg'!E34</f>
        <v>0</v>
      </c>
      <c r="F19" s="37" t="s">
        <v>3</v>
      </c>
      <c r="G19" s="1"/>
    </row>
    <row r="20" spans="1:7" ht="15" customHeight="1" x14ac:dyDescent="0.25">
      <c r="A20" s="1"/>
      <c r="B20" s="43" t="s">
        <v>88</v>
      </c>
      <c r="C20" s="41"/>
      <c r="D20" s="41"/>
      <c r="E20" s="9">
        <f>SUM(E18:E19)</f>
        <v>0</v>
      </c>
      <c r="F20" s="40" t="s">
        <v>3</v>
      </c>
      <c r="G20" s="1"/>
    </row>
    <row r="21" spans="1:7" ht="15" customHeight="1" x14ac:dyDescent="0.25">
      <c r="A21" s="1"/>
      <c r="B21" s="42" t="s">
        <v>107</v>
      </c>
      <c r="C21" s="42"/>
      <c r="D21" s="42"/>
      <c r="E21" s="42"/>
      <c r="F21" s="42"/>
      <c r="G21" s="1"/>
    </row>
    <row r="22" spans="1:7" ht="15" customHeight="1" x14ac:dyDescent="0.25">
      <c r="A22" s="1"/>
      <c r="B22" s="40" t="s">
        <v>159</v>
      </c>
      <c r="C22" s="40"/>
      <c r="D22" s="40"/>
      <c r="E22" s="9">
        <f>'Fane 2.3. Økonomisk ramme 2022'!E22</f>
        <v>-208813.15423755924</v>
      </c>
      <c r="F22" s="40" t="s">
        <v>3</v>
      </c>
      <c r="G22" s="1"/>
    </row>
    <row r="23" spans="1:7" x14ac:dyDescent="0.25">
      <c r="A23" s="1"/>
      <c r="B23" s="42" t="s">
        <v>92</v>
      </c>
      <c r="C23" s="42"/>
      <c r="D23" s="42"/>
      <c r="E23" s="10">
        <f>SUM(E12,E14,E16,E20,E22)</f>
        <v>4793230.1006200565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YuLVIp+IZQCBlhu6TQBrNsy12Jth8zjT6plDm24dL1VX59ONq00T4R6hle0DhH2dvLYg3a6ssg7m+aFejKROvw==" saltValue="ef4K/J3+qnbJyAOkLi2dj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10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166</v>
      </c>
      <c r="C3" s="84"/>
      <c r="D3" s="84"/>
      <c r="E3" s="84"/>
      <c r="F3" s="84"/>
      <c r="G3" s="1"/>
    </row>
    <row r="4" spans="1:7" ht="29.2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73</v>
      </c>
      <c r="C8" s="42"/>
      <c r="D8" s="42"/>
      <c r="E8" s="42"/>
      <c r="F8" s="42"/>
      <c r="G8" s="1"/>
    </row>
    <row r="9" spans="1:7" x14ac:dyDescent="0.25">
      <c r="A9" s="1"/>
      <c r="B9" s="85" t="s">
        <v>71</v>
      </c>
      <c r="C9" s="85"/>
      <c r="D9" s="85"/>
      <c r="E9" s="7">
        <v>4640419.3745404286</v>
      </c>
      <c r="F9" s="37" t="s">
        <v>3</v>
      </c>
      <c r="G9" s="1"/>
    </row>
    <row r="10" spans="1:7" x14ac:dyDescent="0.25">
      <c r="A10" s="1"/>
      <c r="B10" s="86" t="s">
        <v>169</v>
      </c>
      <c r="C10" s="86"/>
      <c r="D10" s="86"/>
      <c r="E10" s="7">
        <v>0</v>
      </c>
      <c r="F10" s="37" t="s">
        <v>3</v>
      </c>
      <c r="G10" s="1"/>
    </row>
    <row r="11" spans="1:7" x14ac:dyDescent="0.25">
      <c r="A11" s="1"/>
      <c r="B11" s="72" t="s">
        <v>170</v>
      </c>
      <c r="C11" s="72"/>
      <c r="D11" s="72"/>
      <c r="E11" s="7">
        <v>0</v>
      </c>
      <c r="F11" s="37" t="s">
        <v>3</v>
      </c>
      <c r="G11" s="1"/>
    </row>
    <row r="12" spans="1:7" x14ac:dyDescent="0.25">
      <c r="A12" s="1"/>
      <c r="B12" s="72" t="s">
        <v>171</v>
      </c>
      <c r="C12" s="72"/>
      <c r="D12" s="72"/>
      <c r="E12" s="8">
        <v>0</v>
      </c>
      <c r="F12" s="37" t="s">
        <v>3</v>
      </c>
      <c r="G12" s="1"/>
    </row>
    <row r="13" spans="1:7" x14ac:dyDescent="0.25">
      <c r="A13" s="1"/>
      <c r="B13" s="72" t="s">
        <v>26</v>
      </c>
      <c r="C13" s="72"/>
      <c r="D13" s="72"/>
      <c r="E13" s="8">
        <f>(E9-E10)*'Fane 13. Nøgletal'!C9+E10*'Fane 13. Nøgletal'!C10+SUM(E11:E12)*'Fane 13. Nøgletal'!C11</f>
        <v>58933.326056663442</v>
      </c>
      <c r="F13" s="37" t="s">
        <v>3</v>
      </c>
      <c r="G13" s="1"/>
    </row>
    <row r="14" spans="1:7" x14ac:dyDescent="0.25">
      <c r="A14" s="1"/>
      <c r="B14" s="72" t="s">
        <v>137</v>
      </c>
      <c r="C14" s="72"/>
      <c r="D14" s="72"/>
      <c r="E14" s="8">
        <f>-SUM(E9:E9,E11:E13)*'Fane 13. Nøgletal'!C17</f>
        <v>-79888.995910150581</v>
      </c>
      <c r="F14" s="37" t="s">
        <v>3</v>
      </c>
      <c r="G14" s="1"/>
    </row>
    <row r="15" spans="1:7" x14ac:dyDescent="0.25">
      <c r="A15" s="1"/>
      <c r="B15" s="73" t="s">
        <v>28</v>
      </c>
      <c r="C15" s="73"/>
      <c r="D15" s="73"/>
      <c r="E15" s="9">
        <f>SUM(E9,E11:E14)</f>
        <v>4619463.7046869416</v>
      </c>
      <c r="F15" s="40" t="s">
        <v>3</v>
      </c>
      <c r="G15" s="1"/>
    </row>
    <row r="16" spans="1:7" x14ac:dyDescent="0.25">
      <c r="A16" s="1"/>
      <c r="B16" s="74" t="s">
        <v>86</v>
      </c>
      <c r="C16" s="75"/>
      <c r="D16" s="75"/>
      <c r="E16" s="75"/>
      <c r="F16" s="76"/>
      <c r="G16" s="1"/>
    </row>
    <row r="17" spans="1:7" x14ac:dyDescent="0.25">
      <c r="A17" s="1"/>
      <c r="B17" s="77" t="s">
        <v>164</v>
      </c>
      <c r="C17" s="78"/>
      <c r="D17" s="79"/>
      <c r="E17" s="34">
        <v>0</v>
      </c>
      <c r="F17" s="37" t="s">
        <v>3</v>
      </c>
      <c r="G17" s="1"/>
    </row>
    <row r="18" spans="1:7" x14ac:dyDescent="0.25">
      <c r="A18" s="1"/>
      <c r="B18" s="77" t="s">
        <v>167</v>
      </c>
      <c r="C18" s="78"/>
      <c r="D18" s="79"/>
      <c r="E18" s="34">
        <f>-E17*'Fane 13. Nøgletal'!C17</f>
        <v>0</v>
      </c>
      <c r="F18" s="37" t="s">
        <v>3</v>
      </c>
      <c r="G18" s="1"/>
    </row>
    <row r="19" spans="1:7" x14ac:dyDescent="0.25">
      <c r="A19" s="1"/>
      <c r="B19" s="80" t="s">
        <v>168</v>
      </c>
      <c r="C19" s="81"/>
      <c r="D19" s="82"/>
      <c r="E19" s="9">
        <f>SUM(E17:E18)</f>
        <v>0</v>
      </c>
      <c r="F19" s="40" t="s">
        <v>3</v>
      </c>
      <c r="G19" s="1"/>
    </row>
    <row r="20" spans="1:7" x14ac:dyDescent="0.25">
      <c r="A20" s="1"/>
      <c r="B20" s="83" t="s">
        <v>16</v>
      </c>
      <c r="C20" s="83"/>
      <c r="D20" s="83"/>
      <c r="E20" s="42"/>
      <c r="F20" s="42"/>
      <c r="G20" s="1"/>
    </row>
    <row r="21" spans="1:7" x14ac:dyDescent="0.25">
      <c r="A21" s="1"/>
      <c r="B21" s="71" t="s">
        <v>16</v>
      </c>
      <c r="C21" s="71"/>
      <c r="D21" s="71"/>
      <c r="E21" s="9">
        <v>612084.57932948985</v>
      </c>
      <c r="F21" s="40" t="s">
        <v>3</v>
      </c>
      <c r="G21" s="1"/>
    </row>
    <row r="22" spans="1:7" x14ac:dyDescent="0.25">
      <c r="A22" s="1"/>
      <c r="B22" s="42" t="s">
        <v>72</v>
      </c>
      <c r="C22" s="42"/>
      <c r="D22" s="42"/>
      <c r="E22" s="42"/>
      <c r="F22" s="42"/>
      <c r="G22" s="1"/>
    </row>
    <row r="23" spans="1:7" ht="27" customHeight="1" x14ac:dyDescent="0.25">
      <c r="A23" s="1"/>
      <c r="B23" s="70" t="s">
        <v>75</v>
      </c>
      <c r="C23" s="70"/>
      <c r="D23" s="70"/>
      <c r="E23" s="9">
        <v>2424.4693124884848</v>
      </c>
      <c r="F23" s="40" t="s">
        <v>3</v>
      </c>
      <c r="G23" s="1"/>
    </row>
    <row r="24" spans="1:7" x14ac:dyDescent="0.25">
      <c r="A24" s="1"/>
      <c r="B24" s="42" t="s">
        <v>10</v>
      </c>
      <c r="C24" s="42"/>
      <c r="D24" s="42"/>
      <c r="E24" s="42"/>
      <c r="F24" s="42"/>
      <c r="G24" s="1"/>
    </row>
    <row r="25" spans="1:7" x14ac:dyDescent="0.25">
      <c r="A25" s="1"/>
      <c r="B25" s="71" t="s">
        <v>18</v>
      </c>
      <c r="C25" s="71"/>
      <c r="D25" s="71"/>
      <c r="E25" s="9">
        <v>0</v>
      </c>
      <c r="F25" s="40" t="s">
        <v>3</v>
      </c>
      <c r="G25" s="1"/>
    </row>
    <row r="26" spans="1:7" x14ac:dyDescent="0.25">
      <c r="A26" s="1"/>
      <c r="B26" s="42" t="s">
        <v>23</v>
      </c>
      <c r="C26" s="42"/>
      <c r="D26" s="42"/>
      <c r="E26" s="10">
        <f>SUM(E25,E23,E21,E15,E19)</f>
        <v>5233972.7533289194</v>
      </c>
      <c r="F26" s="11" t="s">
        <v>3</v>
      </c>
      <c r="G26" s="1"/>
    </row>
    <row r="27" spans="1:7" ht="28.5" customHeight="1" x14ac:dyDescent="0.25">
      <c r="A27" s="1"/>
      <c r="B27" s="69" t="s">
        <v>140</v>
      </c>
      <c r="C27" s="69"/>
      <c r="D27" s="69"/>
      <c r="E27" s="69"/>
      <c r="F27" s="69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kjva44hatMThwOj7qru0qi0wUzAdlIXKrtM6iQkmjaTrVGZWvMeYbCiCL+XYKZrBnJMPB2jKtAwCPl3US5q/LQ==" saltValue="R4ZjZGDH3uUoNjDvVJrzcA==" spinCount="100000" sheet="1" objects="1" scenarios="1"/>
  <mergeCells count="17">
    <mergeCell ref="B3:F4"/>
    <mergeCell ref="B9:D9"/>
    <mergeCell ref="B11:D11"/>
    <mergeCell ref="B12:D12"/>
    <mergeCell ref="B10:D10"/>
    <mergeCell ref="B27:F27"/>
    <mergeCell ref="B23:D23"/>
    <mergeCell ref="B25:D25"/>
    <mergeCell ref="B13:D13"/>
    <mergeCell ref="B14:D14"/>
    <mergeCell ref="B15:D15"/>
    <mergeCell ref="B16:F16"/>
    <mergeCell ref="B17:D17"/>
    <mergeCell ref="B18:D18"/>
    <mergeCell ref="B19:D19"/>
    <mergeCell ref="B20:D20"/>
    <mergeCell ref="B21:D2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7" t="s">
        <v>125</v>
      </c>
      <c r="C3" s="67"/>
      <c r="D3" s="67"/>
      <c r="E3" s="1"/>
      <c r="F3" s="1"/>
    </row>
    <row r="4" spans="1:6" ht="15" customHeight="1" x14ac:dyDescent="0.25">
      <c r="A4" s="1"/>
      <c r="B4" s="67"/>
      <c r="C4" s="67"/>
      <c r="D4" s="67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4" t="s">
        <v>59</v>
      </c>
      <c r="C8" s="75"/>
      <c r="D8" s="76"/>
      <c r="E8" s="1"/>
      <c r="F8" s="1"/>
    </row>
    <row r="9" spans="1:6" ht="15" customHeight="1" x14ac:dyDescent="0.25">
      <c r="A9" s="1"/>
      <c r="B9" s="19" t="s">
        <v>43</v>
      </c>
      <c r="C9" s="40" t="s">
        <v>60</v>
      </c>
      <c r="D9" s="40"/>
      <c r="E9" s="1"/>
      <c r="F9" s="1"/>
    </row>
    <row r="10" spans="1:6" x14ac:dyDescent="0.25">
      <c r="A10" s="1"/>
      <c r="B10" s="30" t="s">
        <v>175</v>
      </c>
      <c r="C10" s="8">
        <v>493045</v>
      </c>
      <c r="D10" s="12" t="s">
        <v>3</v>
      </c>
      <c r="E10" s="1"/>
      <c r="F10" s="1"/>
    </row>
    <row r="11" spans="1:6" x14ac:dyDescent="0.25">
      <c r="A11" s="1"/>
      <c r="B11" s="30" t="s">
        <v>176</v>
      </c>
      <c r="C11" s="8">
        <v>1633</v>
      </c>
      <c r="D11" s="12" t="s">
        <v>3</v>
      </c>
      <c r="E11" s="1"/>
      <c r="F11" s="1"/>
    </row>
    <row r="12" spans="1:6" x14ac:dyDescent="0.25">
      <c r="A12" s="1"/>
      <c r="B12" s="30" t="s">
        <v>177</v>
      </c>
      <c r="C12" s="8">
        <v>7258</v>
      </c>
      <c r="D12" s="12" t="s">
        <v>3</v>
      </c>
      <c r="E12" s="1"/>
      <c r="F12" s="1"/>
    </row>
    <row r="13" spans="1:6" x14ac:dyDescent="0.25">
      <c r="A13" s="1"/>
      <c r="B13" s="47" t="s">
        <v>61</v>
      </c>
      <c r="C13" s="10">
        <f>SUM(C10:C12)</f>
        <v>501936</v>
      </c>
      <c r="D13" s="11" t="s">
        <v>3</v>
      </c>
      <c r="E13" s="1"/>
      <c r="F13" s="1"/>
    </row>
    <row r="14" spans="1:6" x14ac:dyDescent="0.25">
      <c r="A14" s="1"/>
      <c r="B14" s="47" t="s">
        <v>62</v>
      </c>
      <c r="C14" s="10">
        <f>C13*(1+'Fane 13. Nøgletal'!C12)^2</f>
        <v>521907.07474224002</v>
      </c>
      <c r="D14" s="11" t="s">
        <v>3</v>
      </c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74" t="s">
        <v>160</v>
      </c>
      <c r="C17" s="75"/>
      <c r="D17" s="76"/>
      <c r="E17" s="1"/>
      <c r="F17" s="1"/>
    </row>
    <row r="18" spans="1:6" x14ac:dyDescent="0.25">
      <c r="A18" s="1"/>
      <c r="B18" s="30" t="s">
        <v>126</v>
      </c>
      <c r="C18" s="8">
        <v>0</v>
      </c>
      <c r="D18" s="12" t="s">
        <v>3</v>
      </c>
      <c r="E18" s="1"/>
      <c r="F18" s="1"/>
    </row>
    <row r="19" spans="1:6" x14ac:dyDescent="0.25">
      <c r="A19" s="1"/>
      <c r="B19" s="30" t="s">
        <v>127</v>
      </c>
      <c r="C19" s="8">
        <v>0</v>
      </c>
      <c r="D19" s="12" t="s">
        <v>3</v>
      </c>
      <c r="E19" s="1"/>
      <c r="F19" s="1"/>
    </row>
    <row r="20" spans="1:6" x14ac:dyDescent="0.25">
      <c r="A20" s="1"/>
      <c r="B20" s="30" t="s">
        <v>128</v>
      </c>
      <c r="C20" s="8">
        <v>0</v>
      </c>
      <c r="D20" s="12" t="s">
        <v>3</v>
      </c>
      <c r="E20" s="1"/>
      <c r="F20" s="1"/>
    </row>
    <row r="21" spans="1:6" x14ac:dyDescent="0.25">
      <c r="A21" s="1"/>
      <c r="B21" s="30" t="s">
        <v>129</v>
      </c>
      <c r="C21" s="8">
        <v>0</v>
      </c>
      <c r="D21" s="12" t="s">
        <v>3</v>
      </c>
      <c r="E21" s="1"/>
      <c r="F21" s="1"/>
    </row>
    <row r="22" spans="1:6" x14ac:dyDescent="0.25">
      <c r="A22" s="1"/>
      <c r="B22" s="74"/>
      <c r="C22" s="75"/>
      <c r="D22" s="76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74" t="s">
        <v>124</v>
      </c>
      <c r="C25" s="75"/>
      <c r="D25" s="76"/>
      <c r="E25" s="1"/>
      <c r="F25" s="1"/>
    </row>
    <row r="26" spans="1:6" x14ac:dyDescent="0.25">
      <c r="A26" s="1"/>
      <c r="B26" s="30" t="s">
        <v>126</v>
      </c>
      <c r="C26" s="8">
        <v>0</v>
      </c>
      <c r="D26" s="12" t="s">
        <v>3</v>
      </c>
      <c r="E26" s="1"/>
      <c r="F26" s="1"/>
    </row>
    <row r="27" spans="1:6" x14ac:dyDescent="0.25">
      <c r="A27" s="1"/>
      <c r="B27" s="30" t="s">
        <v>127</v>
      </c>
      <c r="C27" s="8">
        <v>0</v>
      </c>
      <c r="D27" s="12" t="s">
        <v>3</v>
      </c>
      <c r="E27" s="1"/>
      <c r="F27" s="1"/>
    </row>
    <row r="28" spans="1:6" x14ac:dyDescent="0.25">
      <c r="A28" s="1"/>
      <c r="B28" s="30" t="s">
        <v>128</v>
      </c>
      <c r="C28" s="8">
        <v>0</v>
      </c>
      <c r="D28" s="12" t="s">
        <v>3</v>
      </c>
      <c r="E28" s="1"/>
      <c r="F28" s="1"/>
    </row>
    <row r="29" spans="1:6" x14ac:dyDescent="0.25">
      <c r="A29" s="1"/>
      <c r="B29" s="30" t="s">
        <v>129</v>
      </c>
      <c r="C29" s="8">
        <v>0</v>
      </c>
      <c r="D29" s="12" t="s">
        <v>3</v>
      </c>
      <c r="E29" s="1"/>
      <c r="F29" s="1"/>
    </row>
    <row r="30" spans="1:6" x14ac:dyDescent="0.25">
      <c r="A30" s="1"/>
      <c r="B30" s="74"/>
      <c r="C30" s="75"/>
      <c r="D30" s="76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heetProtection algorithmName="SHA-512" hashValue="wHbXPhLHE5NUwcIXXmscKaEsh/quj9oMwemoeS5fcM4EIcDL2uW2LG+pBokuy01L3iYkxcL9W/3GmuB5vCKMNA==" saltValue="BQFVcxVePuXg9hX66+mHKg==" spinCount="100000" sheet="1" objects="1" scenarios="1"/>
  <mergeCells count="6">
    <mergeCell ref="B30:D30"/>
    <mergeCell ref="B3:D4"/>
    <mergeCell ref="B8:D8"/>
    <mergeCell ref="B17:D17"/>
    <mergeCell ref="B25:D25"/>
    <mergeCell ref="B22:D22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4" t="s">
        <v>142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ht="15" customHeight="1" x14ac:dyDescent="0.25">
      <c r="A5" s="1"/>
      <c r="B5" s="36"/>
      <c r="C5" s="36"/>
      <c r="D5" s="36"/>
      <c r="E5" s="36"/>
      <c r="F5" s="36"/>
      <c r="G5" s="1"/>
    </row>
    <row r="6" spans="1:7" ht="15" customHeight="1" x14ac:dyDescent="0.25">
      <c r="A6" s="1"/>
      <c r="B6" s="87" t="s">
        <v>47</v>
      </c>
      <c r="C6" s="87"/>
      <c r="D6" s="87"/>
      <c r="E6" s="87"/>
      <c r="F6" s="87"/>
      <c r="G6" s="1"/>
    </row>
    <row r="7" spans="1:7" ht="15" customHeight="1" x14ac:dyDescent="0.25">
      <c r="A7" s="1"/>
      <c r="B7" s="88" t="s">
        <v>45</v>
      </c>
      <c r="C7" s="88"/>
      <c r="D7" s="88"/>
      <c r="E7" s="8">
        <v>-151893.70000000001</v>
      </c>
      <c r="F7" s="12" t="s">
        <v>3</v>
      </c>
      <c r="G7" s="1"/>
    </row>
    <row r="8" spans="1:7" ht="15" customHeight="1" x14ac:dyDescent="0.25">
      <c r="A8" s="1"/>
      <c r="B8" s="88" t="s">
        <v>46</v>
      </c>
      <c r="C8" s="88"/>
      <c r="D8" s="88"/>
      <c r="E8" s="8">
        <v>-683358.91695023701</v>
      </c>
      <c r="F8" s="12" t="s">
        <v>3</v>
      </c>
      <c r="G8" s="1"/>
    </row>
    <row r="9" spans="1:7" ht="15" customHeight="1" x14ac:dyDescent="0.25">
      <c r="A9" s="1"/>
      <c r="B9" s="80" t="s">
        <v>157</v>
      </c>
      <c r="C9" s="81"/>
      <c r="D9" s="82"/>
      <c r="E9" s="9">
        <f>SUM(E7:E8)</f>
        <v>-835252.61695023696</v>
      </c>
      <c r="F9" s="15" t="s">
        <v>3</v>
      </c>
      <c r="G9" s="1"/>
    </row>
    <row r="10" spans="1:7" ht="15" customHeight="1" x14ac:dyDescent="0.25">
      <c r="A10" s="1"/>
      <c r="B10" s="74"/>
      <c r="C10" s="75"/>
      <c r="D10" s="75"/>
      <c r="E10" s="75"/>
      <c r="F10" s="76"/>
      <c r="G10" s="1"/>
    </row>
    <row r="11" spans="1:7" ht="27" customHeight="1" x14ac:dyDescent="0.25">
      <c r="A11" s="1"/>
      <c r="B11" s="69" t="s">
        <v>135</v>
      </c>
      <c r="C11" s="69"/>
      <c r="D11" s="69"/>
      <c r="E11" s="69"/>
      <c r="F11" s="69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7" t="s">
        <v>113</v>
      </c>
      <c r="C14" s="87"/>
      <c r="D14" s="87"/>
      <c r="E14" s="87"/>
      <c r="F14" s="87"/>
      <c r="G14" s="1"/>
    </row>
    <row r="15" spans="1:7" x14ac:dyDescent="0.25">
      <c r="A15" s="1"/>
      <c r="B15" s="88" t="s">
        <v>114</v>
      </c>
      <c r="C15" s="88"/>
      <c r="D15" s="88"/>
      <c r="E15" s="8">
        <v>5575307.2489999998</v>
      </c>
      <c r="F15" s="12" t="s">
        <v>3</v>
      </c>
      <c r="G15" s="1"/>
    </row>
    <row r="16" spans="1:7" x14ac:dyDescent="0.25">
      <c r="A16" s="1"/>
      <c r="B16" s="88" t="s">
        <v>115</v>
      </c>
      <c r="C16" s="88"/>
      <c r="D16" s="88"/>
      <c r="E16" s="8">
        <v>3371643</v>
      </c>
      <c r="F16" s="12" t="s">
        <v>3</v>
      </c>
      <c r="G16" s="1"/>
    </row>
    <row r="17" spans="1:7" x14ac:dyDescent="0.25">
      <c r="A17" s="1"/>
      <c r="B17" s="88" t="s">
        <v>44</v>
      </c>
      <c r="C17" s="88"/>
      <c r="D17" s="88"/>
      <c r="E17" s="8">
        <v>0</v>
      </c>
      <c r="F17" s="12" t="s">
        <v>3</v>
      </c>
      <c r="G17" s="1"/>
    </row>
    <row r="18" spans="1:7" x14ac:dyDescent="0.25">
      <c r="A18" s="1"/>
      <c r="B18" s="89" t="s">
        <v>158</v>
      </c>
      <c r="C18" s="89"/>
      <c r="D18" s="89"/>
      <c r="E18" s="9">
        <f>E15-(E16-E17)</f>
        <v>2203664.2489999998</v>
      </c>
      <c r="F18" s="15" t="s">
        <v>3</v>
      </c>
      <c r="G18" s="1"/>
    </row>
    <row r="19" spans="1:7" x14ac:dyDescent="0.25">
      <c r="A19" s="1"/>
      <c r="B19" s="90"/>
      <c r="C19" s="91"/>
      <c r="D19" s="91"/>
      <c r="E19" s="91"/>
      <c r="F19" s="92"/>
      <c r="G19" s="1"/>
    </row>
    <row r="20" spans="1:7" ht="28.5" customHeight="1" x14ac:dyDescent="0.25">
      <c r="A20" s="1"/>
      <c r="B20" s="69" t="s">
        <v>134</v>
      </c>
      <c r="C20" s="69"/>
      <c r="D20" s="69"/>
      <c r="E20" s="69"/>
      <c r="F20" s="69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7" t="s">
        <v>67</v>
      </c>
      <c r="C23" s="87"/>
      <c r="D23" s="87"/>
      <c r="E23" s="87"/>
      <c r="F23" s="87"/>
      <c r="G23" s="1"/>
    </row>
    <row r="24" spans="1:7" x14ac:dyDescent="0.25">
      <c r="A24" s="1"/>
      <c r="B24" s="88" t="s">
        <v>68</v>
      </c>
      <c r="C24" s="88"/>
      <c r="D24" s="88"/>
      <c r="E24" s="8">
        <v>5083683.4515904291</v>
      </c>
      <c r="F24" s="12" t="s">
        <v>3</v>
      </c>
      <c r="G24" s="1"/>
    </row>
    <row r="25" spans="1:7" x14ac:dyDescent="0.25">
      <c r="A25" s="1"/>
      <c r="B25" s="88" t="s">
        <v>69</v>
      </c>
      <c r="C25" s="88"/>
      <c r="D25" s="88"/>
      <c r="E25" s="8">
        <v>4232060</v>
      </c>
      <c r="F25" s="12" t="s">
        <v>3</v>
      </c>
      <c r="G25" s="1"/>
    </row>
    <row r="26" spans="1:7" x14ac:dyDescent="0.25">
      <c r="A26" s="1"/>
      <c r="B26" s="88" t="s">
        <v>44</v>
      </c>
      <c r="C26" s="88"/>
      <c r="D26" s="88"/>
      <c r="E26" s="8">
        <v>0</v>
      </c>
      <c r="F26" s="12" t="s">
        <v>3</v>
      </c>
      <c r="G26" s="1"/>
    </row>
    <row r="27" spans="1:7" x14ac:dyDescent="0.25">
      <c r="A27" s="1"/>
      <c r="B27" s="89" t="s">
        <v>158</v>
      </c>
      <c r="C27" s="89"/>
      <c r="D27" s="89"/>
      <c r="E27" s="9">
        <f>E24-(E25-E26)</f>
        <v>851623.45159042906</v>
      </c>
      <c r="F27" s="15" t="s">
        <v>3</v>
      </c>
      <c r="G27" s="1"/>
    </row>
    <row r="28" spans="1:7" x14ac:dyDescent="0.25">
      <c r="A28" s="1"/>
      <c r="B28" s="74"/>
      <c r="C28" s="75"/>
      <c r="D28" s="75"/>
      <c r="E28" s="75"/>
      <c r="F28" s="76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7" t="s">
        <v>136</v>
      </c>
      <c r="C31" s="87"/>
      <c r="D31" s="87"/>
      <c r="E31" s="87"/>
      <c r="F31" s="87"/>
      <c r="G31" s="1"/>
    </row>
    <row r="32" spans="1:7" x14ac:dyDescent="0.25">
      <c r="A32" s="1"/>
      <c r="B32" s="86" t="s">
        <v>47</v>
      </c>
      <c r="C32" s="86"/>
      <c r="D32" s="86"/>
      <c r="E32" s="8">
        <f>E9</f>
        <v>-835252.61695023696</v>
      </c>
      <c r="F32" s="12" t="s">
        <v>3</v>
      </c>
      <c r="G32" s="1"/>
    </row>
    <row r="33" spans="1:7" x14ac:dyDescent="0.25">
      <c r="A33" s="1"/>
      <c r="B33" s="86" t="s">
        <v>156</v>
      </c>
      <c r="C33" s="86"/>
      <c r="D33" s="86"/>
      <c r="E33" s="8">
        <f>IF(E18+E27&lt;0,E18+E27,0)</f>
        <v>0</v>
      </c>
      <c r="F33" s="12" t="s">
        <v>3</v>
      </c>
      <c r="G33" s="1"/>
    </row>
    <row r="34" spans="1:7" x14ac:dyDescent="0.25">
      <c r="A34" s="1"/>
      <c r="B34" s="86" t="s">
        <v>145</v>
      </c>
      <c r="C34" s="86"/>
      <c r="D34" s="86"/>
      <c r="E34" s="8">
        <v>4</v>
      </c>
      <c r="F34" s="12" t="s">
        <v>27</v>
      </c>
      <c r="G34" s="1"/>
    </row>
    <row r="35" spans="1:7" x14ac:dyDescent="0.25">
      <c r="A35" s="1"/>
      <c r="B35" s="89" t="s">
        <v>181</v>
      </c>
      <c r="C35" s="89"/>
      <c r="D35" s="89"/>
      <c r="E35" s="9">
        <f>SUM(E32:E33)/E34</f>
        <v>-208813.15423755924</v>
      </c>
      <c r="F35" s="15" t="s">
        <v>3</v>
      </c>
      <c r="G35" s="1"/>
    </row>
    <row r="36" spans="1:7" x14ac:dyDescent="0.25">
      <c r="A36" s="1"/>
      <c r="B36" s="87"/>
      <c r="C36" s="87"/>
      <c r="D36" s="87"/>
      <c r="E36" s="87"/>
      <c r="F36" s="87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oTSqUyd0xB+x9ntBWeq6BrS3MtuHwMsSFE/d2Jvo4JvseWTferyRPGpAPHCELYPEP87Y5LtxAxSDc3uMAgssuA==" saltValue="rXRI1+RD/Th1jXMjMc6Xaw==" spinCount="100000" sheet="1" objects="1" scenarios="1"/>
  <mergeCells count="26"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4" t="s">
        <v>182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87" t="s">
        <v>110</v>
      </c>
      <c r="C9" s="87"/>
      <c r="D9" s="87"/>
      <c r="E9" s="87"/>
      <c r="F9" s="87"/>
      <c r="G9" s="1"/>
    </row>
    <row r="10" spans="1:7" x14ac:dyDescent="0.25">
      <c r="A10" s="1"/>
      <c r="B10" s="69" t="s">
        <v>131</v>
      </c>
      <c r="C10" s="69"/>
      <c r="D10" s="69"/>
      <c r="E10" s="7">
        <v>0</v>
      </c>
      <c r="F10" s="37" t="s">
        <v>3</v>
      </c>
      <c r="G10" s="1"/>
    </row>
    <row r="11" spans="1:7" x14ac:dyDescent="0.25">
      <c r="A11" s="1"/>
      <c r="B11" s="88" t="s">
        <v>132</v>
      </c>
      <c r="C11" s="88"/>
      <c r="D11" s="88"/>
      <c r="E11" s="7">
        <v>0</v>
      </c>
      <c r="F11" s="37" t="s">
        <v>3</v>
      </c>
      <c r="G11" s="1"/>
    </row>
    <row r="12" spans="1:7" x14ac:dyDescent="0.25">
      <c r="A12" s="1"/>
      <c r="B12" s="89" t="s">
        <v>133</v>
      </c>
      <c r="C12" s="89"/>
      <c r="D12" s="89"/>
      <c r="E12" s="9">
        <f>E11-E10</f>
        <v>0</v>
      </c>
      <c r="F12" s="40" t="s">
        <v>3</v>
      </c>
      <c r="G12" s="1"/>
    </row>
    <row r="13" spans="1:7" x14ac:dyDescent="0.25">
      <c r="A13" s="1"/>
      <c r="B13" s="87" t="s">
        <v>111</v>
      </c>
      <c r="C13" s="87"/>
      <c r="D13" s="87"/>
      <c r="E13" s="87"/>
      <c r="F13" s="87"/>
      <c r="G13" s="1"/>
    </row>
    <row r="14" spans="1:7" x14ac:dyDescent="0.25">
      <c r="A14" s="1"/>
      <c r="B14" s="88" t="s">
        <v>154</v>
      </c>
      <c r="C14" s="88"/>
      <c r="D14" s="88"/>
      <c r="E14" s="8">
        <v>0</v>
      </c>
      <c r="F14" s="37" t="s">
        <v>3</v>
      </c>
      <c r="G14" s="1"/>
    </row>
    <row r="15" spans="1:7" x14ac:dyDescent="0.25">
      <c r="A15" s="1"/>
      <c r="B15" s="88" t="s">
        <v>155</v>
      </c>
      <c r="C15" s="88"/>
      <c r="D15" s="88"/>
      <c r="E15" s="8">
        <v>0</v>
      </c>
      <c r="F15" s="37" t="s">
        <v>3</v>
      </c>
      <c r="G15" s="1"/>
    </row>
    <row r="16" spans="1:7" x14ac:dyDescent="0.25">
      <c r="A16" s="1"/>
      <c r="B16" s="89" t="s">
        <v>133</v>
      </c>
      <c r="C16" s="89"/>
      <c r="D16" s="89"/>
      <c r="E16" s="9">
        <f>E15-E14</f>
        <v>0</v>
      </c>
      <c r="F16" s="40" t="s">
        <v>3</v>
      </c>
      <c r="G16" s="1"/>
    </row>
    <row r="17" spans="1:7" ht="15" customHeight="1" x14ac:dyDescent="0.25">
      <c r="A17" s="1"/>
      <c r="B17" s="87" t="s">
        <v>106</v>
      </c>
      <c r="C17" s="87"/>
      <c r="D17" s="87"/>
      <c r="E17" s="87"/>
      <c r="F17" s="87"/>
      <c r="G17" s="1"/>
    </row>
    <row r="18" spans="1:7" ht="28.15" customHeight="1" x14ac:dyDescent="0.25">
      <c r="A18" s="1"/>
      <c r="B18" s="77" t="s">
        <v>190</v>
      </c>
      <c r="C18" s="78"/>
      <c r="D18" s="79"/>
      <c r="E18" s="8">
        <v>0</v>
      </c>
      <c r="F18" s="37" t="s">
        <v>3</v>
      </c>
      <c r="G18" s="1"/>
    </row>
    <row r="19" spans="1:7" ht="28.5" customHeight="1" x14ac:dyDescent="0.25">
      <c r="A19" s="1"/>
      <c r="B19" s="70" t="s">
        <v>112</v>
      </c>
      <c r="C19" s="70"/>
      <c r="D19" s="70"/>
      <c r="E19" s="9">
        <f>IF('Fane 3. Omkostninger i ØR2019'!E23-'Fane 3. Omkostninger i ØR2019'!E23/(1+'Fane 13. Nøgletal'!C11)^2+E18&lt;0,-('Fane 3. Omkostninger i ØR2019'!E23-'Fane 3. Omkostninger i ØR2019'!E23/(1+'Fane 13. Nøgletal'!C11)^2+E18),0)</f>
        <v>0</v>
      </c>
      <c r="F19" s="40" t="s">
        <v>3</v>
      </c>
      <c r="G19" s="1"/>
    </row>
    <row r="20" spans="1:7" x14ac:dyDescent="0.25">
      <c r="A20" s="1"/>
      <c r="B20" s="42" t="s">
        <v>123</v>
      </c>
      <c r="C20" s="42"/>
      <c r="D20" s="42"/>
      <c r="E20" s="10">
        <f>E12+E16+E19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kZ8jhBkLZy8FtTWNPI7qKsybAahFb8UjxOaJ3l9/6cpdSR/5RYyTLmRbmtU/4WXtGg420bXeRe+/Y8seQeF2+A==" saltValue="YW15ny74cS4n5A1zcOJ/LA==" spinCount="100000" sheet="1" objects="1" scenarios="1"/>
  <mergeCells count="12">
    <mergeCell ref="B13:F13"/>
    <mergeCell ref="B17:F17"/>
    <mergeCell ref="B16:D16"/>
    <mergeCell ref="B19:D19"/>
    <mergeCell ref="B3:F4"/>
    <mergeCell ref="B10:D10"/>
    <mergeCell ref="B11:D11"/>
    <mergeCell ref="B14:D14"/>
    <mergeCell ref="B15:D15"/>
    <mergeCell ref="B9:F9"/>
    <mergeCell ref="B12:D12"/>
    <mergeCell ref="B18:D18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Periodevise driftsomk.</vt:lpstr>
      <vt:lpstr>Fane 10. Tilknyttet aktivitet</vt:lpstr>
      <vt:lpstr>Fane 11. Bortfald</vt:lpstr>
      <vt:lpstr>Fane 12. Hist. over-underdæk.</vt:lpstr>
      <vt:lpstr>Fane 13.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2019-09-04T18:18:07Z</dcterms:modified>
</cp:coreProperties>
</file>