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Ærø Vand AS (S10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aktivitet" sheetId="29" r:id="rId14"/>
    <sheet name="Fane 11. Bortfald" sheetId="21" r:id="rId15"/>
    <sheet name="Fane 12. Hist. over-underdæk." sheetId="10" r:id="rId16"/>
    <sheet name="Fane 13. Nøgletal" sheetId="26" r:id="rId17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12" i="10" l="1"/>
  <c r="G14" i="10" s="1"/>
  <c r="E27" i="2" s="1"/>
  <c r="E30" i="21"/>
  <c r="C30" i="21"/>
  <c r="E29" i="21"/>
  <c r="C29" i="21"/>
  <c r="E24" i="21"/>
  <c r="C24" i="21"/>
  <c r="E23" i="21"/>
  <c r="C23" i="21"/>
  <c r="E18" i="21"/>
  <c r="C18" i="21"/>
  <c r="E17" i="21"/>
  <c r="C17" i="21"/>
  <c r="E12" i="21"/>
  <c r="C12" i="21"/>
  <c r="E11" i="21"/>
  <c r="C11" i="21"/>
  <c r="E12" i="29"/>
  <c r="C12" i="29"/>
  <c r="E11" i="29"/>
  <c r="C11" i="29"/>
  <c r="E26" i="20"/>
  <c r="E25" i="20"/>
  <c r="E21" i="20"/>
  <c r="E20" i="20"/>
  <c r="E16" i="20"/>
  <c r="E15" i="20"/>
  <c r="E11" i="20"/>
  <c r="E10" i="20"/>
  <c r="E34" i="39"/>
  <c r="C34" i="39"/>
  <c r="E33" i="39"/>
  <c r="C33" i="39"/>
  <c r="E32" i="39"/>
  <c r="C32" i="39"/>
  <c r="E27" i="39"/>
  <c r="C27" i="39"/>
  <c r="E26" i="39"/>
  <c r="C26" i="39"/>
  <c r="E25" i="39"/>
  <c r="C25" i="39"/>
  <c r="E20" i="39"/>
  <c r="C20" i="39"/>
  <c r="E19" i="39"/>
  <c r="C19" i="39"/>
  <c r="E18" i="39"/>
  <c r="C18" i="39"/>
  <c r="E13" i="39"/>
  <c r="C13" i="39"/>
  <c r="E12" i="39"/>
  <c r="C12" i="39"/>
  <c r="E11" i="39"/>
  <c r="C11" i="39"/>
  <c r="E12" i="37"/>
  <c r="C12" i="37"/>
  <c r="E11" i="37"/>
  <c r="C11" i="37"/>
  <c r="E10" i="37"/>
  <c r="C10" i="37"/>
  <c r="G11" i="11"/>
  <c r="F11" i="11"/>
  <c r="E11" i="11"/>
  <c r="E20" i="40"/>
  <c r="E29" i="2" s="1"/>
  <c r="E27" i="32"/>
  <c r="E18" i="32"/>
  <c r="E9" i="32"/>
  <c r="E32" i="32" s="1"/>
  <c r="C14" i="19"/>
  <c r="C13" i="19"/>
  <c r="E18" i="27"/>
  <c r="E19" i="27" s="1"/>
  <c r="E13" i="27"/>
  <c r="E20" i="23"/>
  <c r="E19" i="23"/>
  <c r="E18" i="23"/>
  <c r="E16" i="23"/>
  <c r="E14" i="23"/>
  <c r="E9" i="23"/>
  <c r="E20" i="22"/>
  <c r="E19" i="22"/>
  <c r="E18" i="22"/>
  <c r="E16" i="22"/>
  <c r="E14" i="22"/>
  <c r="E9" i="22"/>
  <c r="E21" i="15"/>
  <c r="E22" i="15" s="1"/>
  <c r="E20" i="15"/>
  <c r="E18" i="15"/>
  <c r="E16" i="15"/>
  <c r="E11" i="15"/>
  <c r="E25" i="2"/>
  <c r="E24" i="2"/>
  <c r="E23" i="2"/>
  <c r="E21" i="2"/>
  <c r="E19" i="2"/>
  <c r="E14" i="2"/>
  <c r="E13" i="2"/>
  <c r="E12" i="2"/>
  <c r="E11" i="2"/>
  <c r="E10" i="2"/>
  <c r="E14" i="27" l="1"/>
  <c r="E15" i="27" s="1"/>
  <c r="E33" i="32"/>
  <c r="E35" i="32" s="1"/>
  <c r="E24" i="15" s="1"/>
  <c r="E9" i="2" l="1"/>
  <c r="E26" i="27"/>
  <c r="E22" i="22"/>
  <c r="E22" i="23" s="1"/>
  <c r="E15" i="2" l="1"/>
  <c r="E16" i="2" l="1"/>
  <c r="E17" i="2" s="1"/>
  <c r="E9" i="15" l="1"/>
  <c r="E30" i="2"/>
  <c r="E12" i="15" l="1"/>
  <c r="E13" i="15" l="1"/>
  <c r="E14" i="15" s="1"/>
  <c r="E25" i="15" l="1"/>
  <c r="E8" i="22"/>
  <c r="E10" i="22" s="1"/>
  <c r="E11" i="22" s="1"/>
  <c r="E12" i="22" l="1"/>
  <c r="E8" i="23" l="1"/>
  <c r="E23" i="22"/>
  <c r="E10" i="23" l="1"/>
  <c r="E11" i="23" s="1"/>
  <c r="E12" i="23" s="1"/>
  <c r="E23" i="23" s="1"/>
</calcChain>
</file>

<file path=xl/sharedStrings.xml><?xml version="1.0" encoding="utf-8"?>
<sst xmlns="http://schemas.openxmlformats.org/spreadsheetml/2006/main" count="506" uniqueCount="193">
  <si>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</si>
  <si>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</si>
  <si>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</si>
  <si>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</si>
  <si>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</si>
  <si>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</si>
  <si>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</si>
  <si>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</si>
  <si>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</si>
  <si>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</si>
  <si>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</si>
  <si>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</si>
  <si>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</si>
  <si>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</si>
  <si>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</si>
  <si>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</si>
  <si>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</si>
  <si>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</si>
  <si>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</si>
  <si>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</si>
  <si>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</si>
  <si>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</si>
  <si>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</si>
  <si>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</si>
  <si>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</si>
  <si>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</si>
  <si>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</si>
  <si>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</si>
  <si>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</si>
  <si>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</si>
  <si>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</si>
  <si>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</si>
  <si>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</si>
  <si>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</si>
  <si>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</si>
  <si>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</si>
  <si>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</si>
  <si>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</si>
  <si>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</si>
  <si>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</si>
  <si>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</si>
  <si>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</si>
  <si>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</si>
  <si>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</si>
  <si>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</si>
  <si>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</si>
  <si>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</si>
  <si>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</si>
  <si>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</si>
  <si>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</si>
  <si>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</si>
  <si>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</si>
  <si>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</si>
  <si>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</si>
  <si>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</si>
  <si>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</si>
  <si>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</si>
  <si>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</si>
  <si>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</si>
  <si>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</si>
  <si>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</si>
  <si>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</si>
  <si>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</si>
  <si>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</si>
  <si>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</si>
  <si>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</si>
  <si>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</si>
  <si>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</si>
  <si>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</si>
  <si>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</si>
  <si>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</si>
  <si>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</si>
  <si>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</si>
  <si>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</si>
  <si>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</si>
  <si>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</si>
  <si>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</si>
  <si>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</si>
  <si>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</si>
  <si>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</si>
  <si>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</si>
  <si>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</si>
  <si>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</si>
  <si>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</si>
  <si>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</si>
  <si>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</si>
  <si>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</si>
  <si>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</si>
  <si>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</si>
  <si>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</si>
  <si>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</si>
  <si>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</si>
  <si>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</si>
  <si>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</si>
  <si>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</si>
  <si>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</si>
  <si>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</si>
  <si>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</si>
  <si>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</si>
  <si>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</si>
  <si>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</si>
  <si>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</si>
  <si>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</si>
  <si>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</si>
  <si>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</si>
  <si>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</si>
  <si>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</si>
  <si>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</si>
  <si>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</si>
  <si>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</si>
  <si>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</si>
  <si>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</si>
  <si>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</si>
  <si>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</si>
  <si>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</si>
  <si>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</si>
  <si>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</si>
  <si>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</si>
  <si>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</si>
  <si>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</si>
  <si>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</si>
  <si>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</si>
  <si>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</si>
  <si>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</si>
  <si>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Tillæg til tilbagebetaling af vejbidrag</t>
  </si>
  <si>
    <t>Fane 4: Ikke-påvirkelige omkostninger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</si>
  <si>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</si>
  <si>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</si>
  <si>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</si>
  <si>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</si>
  <si>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Tidligere tilknyttet aktivitet</t>
  </si>
  <si>
    <t>Samlede tillæg til periodevise driftsomkostninger jf. indmeldte oprensningsplan</t>
  </si>
  <si>
    <t>Faktisk periodevis driftsomkostning i 2018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</si>
  <si>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</si>
  <si>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</si>
  <si>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</si>
  <si>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</si>
  <si>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</si>
  <si>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</si>
  <si>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</si>
  <si>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</si>
  <si>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13: Nøgletal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</si>
  <si>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</si>
  <si>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</si>
  <si>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</si>
  <si>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</si>
  <si>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10: Tilknyttet aktivitet under hovedvirksomheden</t>
  </si>
  <si>
    <t>Fane 11: Bortfald eller nedsættelse af omkostninger til mål, medfinansiering eller udvidelse</t>
  </si>
  <si>
    <t>Fane 12: Historisk over- eller underdækning</t>
  </si>
  <si>
    <t>Fane 6</t>
  </si>
  <si>
    <t>Fane 8.1</t>
  </si>
  <si>
    <t>Fane 8.2</t>
  </si>
  <si>
    <t>Fane 11</t>
  </si>
  <si>
    <t>Nøgletal</t>
  </si>
  <si>
    <t>Tidligere godkendt tillæg indregnet i den økonomiske ramme for 2018</t>
  </si>
  <si>
    <t>Faktisk omkostning til medfinansiering af klimatilpasningsprojekter i 2018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</si>
  <si>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</si>
  <si>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</si>
  <si>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</si>
  <si>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</si>
  <si>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</si>
  <si>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</si>
  <si>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</si>
  <si>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</si>
  <si>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Periodevise driftsomkostninger i den økonomiske ramme for 2019</t>
  </si>
  <si>
    <t>Periodevise driftsomkostninger i alt i 2017-prisniveau</t>
  </si>
  <si>
    <t>Fane 3: Videreførte omkostninger fra den økonomiske ramme for 2019</t>
  </si>
  <si>
    <t>Effektiviseringskrav af periodevise driftsomkostninger</t>
  </si>
  <si>
    <t>Periodevise driftsomkostninger i den økonomiske ramme for 2019 i alt</t>
  </si>
  <si>
    <t xml:space="preserve"> - Heraf nye omkostninger i ØR18</t>
  </si>
  <si>
    <t>Nye tillæg</t>
  </si>
  <si>
    <t>Bortfald eller nedsættelse af omkostninger</t>
  </si>
  <si>
    <t xml:space="preserve"> - Heraf nye omkostninger i ØR19</t>
  </si>
  <si>
    <t>Fane 2.4: Samlet økonomisk ramme for 2023</t>
  </si>
  <si>
    <t>Fane 2.3: Samlet økonomisk ramme for 2022</t>
  </si>
  <si>
    <t>Spildevandsafgift</t>
  </si>
  <si>
    <t>Afgift til Forsyningssekretariatet</t>
  </si>
  <si>
    <t>Ejendomsskatter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</si>
  <si>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</si>
  <si>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</si>
  <si>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</si>
  <si>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</si>
  <si>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</si>
  <si>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</si>
  <si>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</si>
  <si>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</si>
  <si>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</si>
  <si>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</si>
  <si>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</si>
  <si>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</si>
  <si>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Prisfremskrivning til 2017-prisniveau af korrektion af periodevise driftsomkostninger i de økonomiske rammer for 2019</t>
  </si>
  <si>
    <t>Fane 3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</si>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</sst>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/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138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49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22</v>
      </c>
      <c r="D14" s="61" t="s">
        <v>139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48</v>
      </c>
      <c r="D15" s="61" t="s">
        <v>76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50</v>
      </c>
      <c r="D16" s="61" t="s">
        <v>77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191</v>
      </c>
      <c r="D17" s="61" t="s">
        <v>58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55" t="s">
        <v>16</v>
      </c>
      <c r="E18" s="56"/>
      <c r="F18" s="56"/>
      <c r="G18" s="57"/>
      <c r="H18" s="1"/>
      <c r="I18" s="1"/>
    </row>
    <row r="19" spans="1:9" x14ac:dyDescent="0.25">
      <c r="A19" s="1"/>
      <c r="B19" s="1"/>
      <c r="C19" s="6" t="s">
        <v>8</v>
      </c>
      <c r="D19" s="49" t="s">
        <v>109</v>
      </c>
      <c r="E19" s="50"/>
      <c r="F19" s="50"/>
      <c r="G19" s="51"/>
      <c r="H19" s="1"/>
      <c r="I19" s="1"/>
    </row>
    <row r="20" spans="1:9" x14ac:dyDescent="0.25">
      <c r="A20" s="1"/>
      <c r="B20" s="1"/>
      <c r="C20" s="6" t="s">
        <v>149</v>
      </c>
      <c r="D20" s="49" t="s">
        <v>179</v>
      </c>
      <c r="E20" s="50"/>
      <c r="F20" s="50"/>
      <c r="G20" s="51"/>
      <c r="H20" s="1"/>
      <c r="I20" s="1"/>
    </row>
    <row r="21" spans="1:9" x14ac:dyDescent="0.25">
      <c r="A21" s="1"/>
      <c r="B21" s="1"/>
      <c r="C21" s="6" t="s">
        <v>83</v>
      </c>
      <c r="D21" s="49" t="s">
        <v>51</v>
      </c>
      <c r="E21" s="50"/>
      <c r="F21" s="50"/>
      <c r="G21" s="51"/>
      <c r="H21" s="1"/>
      <c r="I21" s="1"/>
    </row>
    <row r="22" spans="1:9" x14ac:dyDescent="0.25">
      <c r="A22" s="1"/>
      <c r="B22" s="1"/>
      <c r="C22" s="6" t="s">
        <v>150</v>
      </c>
      <c r="D22" s="49" t="s">
        <v>84</v>
      </c>
      <c r="E22" s="50"/>
      <c r="F22" s="50"/>
      <c r="G22" s="51"/>
      <c r="H22" s="1"/>
      <c r="I22" s="1"/>
    </row>
    <row r="23" spans="1:9" x14ac:dyDescent="0.25">
      <c r="A23" s="1"/>
      <c r="B23" s="1"/>
      <c r="C23" s="6" t="s">
        <v>151</v>
      </c>
      <c r="D23" s="49" t="s">
        <v>85</v>
      </c>
      <c r="E23" s="50"/>
      <c r="F23" s="50"/>
      <c r="G23" s="51"/>
      <c r="H23" s="1"/>
      <c r="I23" s="1"/>
    </row>
    <row r="24" spans="1:9" x14ac:dyDescent="0.25">
      <c r="A24" s="1"/>
      <c r="B24" s="1"/>
      <c r="C24" s="6" t="s">
        <v>9</v>
      </c>
      <c r="D24" s="49" t="s">
        <v>86</v>
      </c>
      <c r="E24" s="50"/>
      <c r="F24" s="50"/>
      <c r="G24" s="51"/>
      <c r="H24" s="1"/>
      <c r="I24" s="1"/>
    </row>
    <row r="25" spans="1:9" x14ac:dyDescent="0.25">
      <c r="A25" s="1"/>
      <c r="B25" s="1"/>
      <c r="C25" s="6" t="s">
        <v>108</v>
      </c>
      <c r="D25" s="49" t="s">
        <v>52</v>
      </c>
      <c r="E25" s="50"/>
      <c r="F25" s="50"/>
      <c r="G25" s="51"/>
      <c r="H25" s="1"/>
      <c r="I25" s="1"/>
    </row>
    <row r="26" spans="1:9" x14ac:dyDescent="0.25">
      <c r="A26" s="1"/>
      <c r="B26" s="1"/>
      <c r="C26" s="6" t="s">
        <v>152</v>
      </c>
      <c r="D26" s="49" t="s">
        <v>53</v>
      </c>
      <c r="E26" s="50"/>
      <c r="F26" s="50"/>
      <c r="G26" s="51"/>
      <c r="H26" s="1"/>
      <c r="I26" s="1"/>
    </row>
    <row r="27" spans="1:9" x14ac:dyDescent="0.25">
      <c r="A27" s="1"/>
      <c r="B27" s="1"/>
      <c r="C27" s="6" t="s">
        <v>21</v>
      </c>
      <c r="D27" s="58" t="s">
        <v>10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54</v>
      </c>
      <c r="D28" s="52" t="s">
        <v>153</v>
      </c>
      <c r="E28" s="53"/>
      <c r="F28" s="53"/>
      <c r="G28" s="54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AgBUgvLh31E99GnpYHhtLxsuMiLfZ/QsZGOhzJPmprJOn2AazF7y4AqD8+6DeM0I09KUac76YPezIhyneS13w==" saltValue="vqwJNDHq149bY56dK0RWxg==" spinCount="100000" sheet="1" objects="1" scenarios="1"/>
  <mergeCells count="19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8:G28"/>
    <mergeCell ref="D18:G18"/>
    <mergeCell ref="D21:G21"/>
    <mergeCell ref="D22:G22"/>
    <mergeCell ref="D25:G25"/>
    <mergeCell ref="D23:G23"/>
    <mergeCell ref="D24:G24"/>
    <mergeCell ref="D20:G20"/>
    <mergeCell ref="D27:G27"/>
  </mergeCells>
  <hyperlinks>
    <hyperlink ref="D14:G14" location="'Fane 2.2. Økonomisk ramme 2021'!A1" display="Samlet økonomisk ramme for 2021"/>
    <hyperlink ref="D22:G22" location="'Fane 8.1. Varige tillæg'!A1" display="Varige tillæg"/>
    <hyperlink ref="D25:G25" location="'Fane 10. Tilknyttet aktivitet'!A1" display="Tilknyttet aktivitet"/>
    <hyperlink ref="D26:G26" location="'Fane 11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8:G28" location="'Fane 13. Nøgletal'!A1" display="Nøgletal"/>
    <hyperlink ref="D23:G23" location="'Fane 8.2. Engangstillæg'!A1" display="Engangstillæg"/>
    <hyperlink ref="D24:G24" location="'Fane 9. Periodevise driftsomk.'!A1" display="Periodevise driftsomkostninger"/>
    <hyperlink ref="D27:G27" location="'Fane 12. Hist. over-underdæk.'!A1" display="Historisk over- eller underdækning"/>
    <hyperlink ref="D20" location="'Fane 6. Korrektioner'!A1" display="Korrektion af tidligere rammer"/>
    <hyperlink ref="D17" location="'Fane 3. Omkostninger i ØR2019'!A1" display="Omkostninger i ØR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183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184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6"/>
      <c r="I9" s="1"/>
    </row>
    <row r="10" spans="1:9" x14ac:dyDescent="0.25">
      <c r="A10" s="1"/>
      <c r="B10" s="44" t="s">
        <v>188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185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/gw7pg+OljooqrB9fiWf9pVci515aUx6VxyTcot0nqI5E8p8PkbCvdGM6jRGKApluHNLjGBN+v6FFZa8WAE1lQ==" saltValue="gmWrysZX/dvbvXO5Nye9R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80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189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H46h+nZZgU/7ZjfjMds3kDxaYgkQg2N/8voLCk/2iEPvITaADQBTDLNCVDduRQI7D8qlTRqwg13Y0OYyrwi3Q==" saltValue="362kVAt/U30j7YT5LRt2S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144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116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178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120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137</v>
      </c>
      <c r="C12" s="28">
        <f>-C11*'Fane 13. Nøgletal'!C17</f>
        <v>0</v>
      </c>
      <c r="D12" s="29" t="s">
        <v>3</v>
      </c>
      <c r="E12" s="28">
        <f>-E11*'Fane 13. Nøgletal'!C17</f>
        <v>0</v>
      </c>
      <c r="F12" s="29" t="s">
        <v>3</v>
      </c>
      <c r="G12" s="1"/>
    </row>
    <row r="13" spans="1:7" x14ac:dyDescent="0.25">
      <c r="A13" s="1"/>
      <c r="B13" s="47" t="s">
        <v>121</v>
      </c>
      <c r="C13" s="10">
        <f>SUM(C11:C12)*(1+'Fane 13. Nøgletal'!C12)^2</f>
        <v>0</v>
      </c>
      <c r="D13" s="11" t="s">
        <v>3</v>
      </c>
      <c r="E13" s="10">
        <f>SUM(E11:E12)*(1+'Fane 13.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117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178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120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137</v>
      </c>
      <c r="C19" s="28">
        <f>-C18*'Fane 13. Nøgletal'!C17</f>
        <v>0</v>
      </c>
      <c r="D19" s="29" t="s">
        <v>3</v>
      </c>
      <c r="E19" s="28">
        <f>-E18*'Fane 13. Nøgletal'!C17</f>
        <v>0</v>
      </c>
      <c r="F19" s="29" t="s">
        <v>3</v>
      </c>
      <c r="G19" s="1"/>
    </row>
    <row r="20" spans="1:7" x14ac:dyDescent="0.25">
      <c r="A20" s="1"/>
      <c r="B20" s="47" t="s">
        <v>122</v>
      </c>
      <c r="C20" s="10">
        <f>SUM(C18:C19)*(1+'Fane 13. Nøgletal'!C12)^3</f>
        <v>0</v>
      </c>
      <c r="D20" s="11" t="s">
        <v>3</v>
      </c>
      <c r="E20" s="10">
        <f>SUM(E18:E19)*(1+'Fane 13.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118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178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120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137</v>
      </c>
      <c r="C26" s="28">
        <f>-C25*'Fane 13. Nøgletal'!C17</f>
        <v>0</v>
      </c>
      <c r="D26" s="29" t="s">
        <v>3</v>
      </c>
      <c r="E26" s="28">
        <f>-E25*'Fane 13. Nøgletal'!C17</f>
        <v>0</v>
      </c>
      <c r="F26" s="29" t="s">
        <v>3</v>
      </c>
      <c r="G26" s="1"/>
    </row>
    <row r="27" spans="1:7" x14ac:dyDescent="0.25">
      <c r="A27" s="1"/>
      <c r="B27" s="47" t="s">
        <v>122</v>
      </c>
      <c r="C27" s="10">
        <f>SUM(C25:C26)*(1+'Fane 13. Nøgletal'!C12)^4</f>
        <v>0</v>
      </c>
      <c r="D27" s="11" t="s">
        <v>3</v>
      </c>
      <c r="E27" s="10">
        <f>SUM(E25:E26)*(1+'Fane 13.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119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178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120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137</v>
      </c>
      <c r="C33" s="28">
        <f>-C32*'Fane 13. Nøgletal'!C17</f>
        <v>0</v>
      </c>
      <c r="D33" s="29" t="s">
        <v>3</v>
      </c>
      <c r="E33" s="28">
        <f>-E32*'Fane 13. Nøgletal'!C17</f>
        <v>0</v>
      </c>
      <c r="F33" s="29" t="s">
        <v>3</v>
      </c>
      <c r="G33" s="1"/>
    </row>
    <row r="34" spans="1:7" x14ac:dyDescent="0.25">
      <c r="A34" s="1"/>
      <c r="B34" s="47" t="s">
        <v>122</v>
      </c>
      <c r="C34" s="10">
        <f>SUM(C32:C33)*(1+'Fane 13. Nøgletal'!C12)^5</f>
        <v>0</v>
      </c>
      <c r="D34" s="11" t="s">
        <v>3</v>
      </c>
      <c r="E34" s="10">
        <f>SUM(E32:E33)*(1+'Fane 13.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R5qtCZsuKY2OnywKxOE7j9Aq9wUg0P0IiV+FcyCJVz0tGupRU8lRGl4HI6ncn8l1UNpURlFo4rzUg0+LUACquw==" saltValue="c4iguK1pXYwjrTRcKJUH8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163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69"/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94</v>
      </c>
      <c r="C8" s="78"/>
      <c r="D8" s="78"/>
      <c r="E8" s="78"/>
      <c r="F8" s="79"/>
      <c r="G8" s="1"/>
    </row>
    <row r="9" spans="1:7" x14ac:dyDescent="0.25">
      <c r="A9" s="1"/>
      <c r="B9" s="93" t="s">
        <v>165</v>
      </c>
      <c r="C9" s="94"/>
      <c r="D9" s="95"/>
      <c r="E9" s="8">
        <v>0</v>
      </c>
      <c r="F9" s="12" t="s">
        <v>3</v>
      </c>
      <c r="G9" s="1"/>
    </row>
    <row r="10" spans="1:7" x14ac:dyDescent="0.25">
      <c r="A10" s="1"/>
      <c r="B10" s="96" t="s">
        <v>137</v>
      </c>
      <c r="C10" s="97"/>
      <c r="D10" s="98"/>
      <c r="E10" s="8">
        <f>-E9*'Fane 13. Nøgletal'!C17</f>
        <v>0</v>
      </c>
      <c r="F10" s="12" t="s">
        <v>3</v>
      </c>
      <c r="G10" s="1"/>
    </row>
    <row r="11" spans="1:7" x14ac:dyDescent="0.25">
      <c r="A11" s="1"/>
      <c r="B11" s="77" t="s">
        <v>98</v>
      </c>
      <c r="C11" s="78"/>
      <c r="D11" s="79"/>
      <c r="E11" s="10">
        <f>SUM(E9:E10)*(1+'Fane 13. Nøgletal'!C9)^3</f>
        <v>0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77" t="s">
        <v>95</v>
      </c>
      <c r="C13" s="78"/>
      <c r="D13" s="78"/>
      <c r="E13" s="78"/>
      <c r="F13" s="79"/>
      <c r="G13" s="1"/>
    </row>
    <row r="14" spans="1:7" x14ac:dyDescent="0.25">
      <c r="A14" s="1"/>
      <c r="B14" s="93" t="s">
        <v>93</v>
      </c>
      <c r="C14" s="94"/>
      <c r="D14" s="95"/>
      <c r="E14" s="8">
        <v>0</v>
      </c>
      <c r="F14" s="12" t="s">
        <v>3</v>
      </c>
      <c r="G14" s="1"/>
    </row>
    <row r="15" spans="1:7" x14ac:dyDescent="0.25">
      <c r="A15" s="1"/>
      <c r="B15" s="96" t="s">
        <v>137</v>
      </c>
      <c r="C15" s="97"/>
      <c r="D15" s="98"/>
      <c r="E15" s="8">
        <f>-E14*'Fane 13. Nøgletal'!C17</f>
        <v>0</v>
      </c>
      <c r="F15" s="12" t="s">
        <v>3</v>
      </c>
      <c r="G15" s="1"/>
    </row>
    <row r="16" spans="1:7" x14ac:dyDescent="0.25">
      <c r="A16" s="1"/>
      <c r="B16" s="77" t="s">
        <v>99</v>
      </c>
      <c r="C16" s="78"/>
      <c r="D16" s="79"/>
      <c r="E16" s="10">
        <f>SUM(E14:E15)*(1+'Fane 13. Nøgletal'!C12)^3</f>
        <v>0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77" t="s">
        <v>96</v>
      </c>
      <c r="C18" s="78"/>
      <c r="D18" s="78"/>
      <c r="E18" s="78"/>
      <c r="F18" s="79"/>
      <c r="G18" s="1"/>
    </row>
    <row r="19" spans="1:7" x14ac:dyDescent="0.25">
      <c r="A19" s="1"/>
      <c r="B19" s="93" t="s">
        <v>93</v>
      </c>
      <c r="C19" s="94"/>
      <c r="D19" s="95"/>
      <c r="E19" s="8">
        <v>0</v>
      </c>
      <c r="F19" s="12" t="s">
        <v>3</v>
      </c>
      <c r="G19" s="1"/>
    </row>
    <row r="20" spans="1:7" x14ac:dyDescent="0.25">
      <c r="A20" s="1"/>
      <c r="B20" s="96" t="s">
        <v>137</v>
      </c>
      <c r="C20" s="97"/>
      <c r="D20" s="98"/>
      <c r="E20" s="8">
        <f>-E19*'Fane 13. Nøgletal'!C17</f>
        <v>0</v>
      </c>
      <c r="F20" s="12" t="s">
        <v>3</v>
      </c>
      <c r="G20" s="1"/>
    </row>
    <row r="21" spans="1:7" x14ac:dyDescent="0.25">
      <c r="A21" s="1"/>
      <c r="B21" s="77" t="s">
        <v>100</v>
      </c>
      <c r="C21" s="78"/>
      <c r="D21" s="79"/>
      <c r="E21" s="10">
        <f>SUM(E19:E20)*(1+'Fane 13. Nøgletal'!C12)^4</f>
        <v>0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7" t="s">
        <v>97</v>
      </c>
      <c r="C23" s="78"/>
      <c r="D23" s="78"/>
      <c r="E23" s="78"/>
      <c r="F23" s="79"/>
      <c r="G23" s="1"/>
    </row>
    <row r="24" spans="1:7" ht="15" customHeight="1" x14ac:dyDescent="0.25">
      <c r="A24" s="1"/>
      <c r="B24" s="93" t="s">
        <v>93</v>
      </c>
      <c r="C24" s="94"/>
      <c r="D24" s="95"/>
      <c r="E24" s="8">
        <v>0</v>
      </c>
      <c r="F24" s="12" t="s">
        <v>3</v>
      </c>
      <c r="G24" s="1"/>
    </row>
    <row r="25" spans="1:7" x14ac:dyDescent="0.25">
      <c r="A25" s="1"/>
      <c r="B25" s="96" t="s">
        <v>137</v>
      </c>
      <c r="C25" s="97"/>
      <c r="D25" s="98"/>
      <c r="E25" s="8">
        <f>-E24*'Fane 13. Nøgletal'!C17</f>
        <v>0</v>
      </c>
      <c r="F25" s="12" t="s">
        <v>3</v>
      </c>
      <c r="G25" s="1"/>
    </row>
    <row r="26" spans="1:7" x14ac:dyDescent="0.25">
      <c r="A26" s="1"/>
      <c r="B26" s="77" t="s">
        <v>101</v>
      </c>
      <c r="C26" s="78"/>
      <c r="D26" s="79"/>
      <c r="E26" s="10">
        <f>SUM(E24:E25)*(1+'Fane 13. Nøgletal'!C12)^5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QI6ik0Ng6ofhvQNsAhS8+/5rfVlB4WLChjvNi+fyT/p/PwRZfGR5X8mMrzLHt36aEY2p87QQwmiuNxSCgOCmg==" saltValue="Qqc8jR96iv3YSsLS1xVwIw==" spinCount="100000" sheet="1" objects="1" scenarios="1"/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146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5" t="s">
        <v>33</v>
      </c>
      <c r="C9" s="99" t="s">
        <v>15</v>
      </c>
      <c r="D9" s="100"/>
      <c r="E9" s="99" t="s">
        <v>42</v>
      </c>
      <c r="F9" s="100"/>
      <c r="G9" s="1"/>
    </row>
    <row r="10" spans="1:7" x14ac:dyDescent="0.25">
      <c r="A10" s="1"/>
      <c r="B10" s="22" t="s">
        <v>186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66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So8wBponYnEIQBshG9cZR/W2akCwwMa9DS4MDLjTiTqMToAcnTmTaVt5fG0ZOgz3NtDM1HU5+Dd8iJJungl0Q==" saltValue="R6mi05yC1NtdKCb5QZm52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147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103</v>
      </c>
      <c r="C8" s="78"/>
      <c r="D8" s="78"/>
      <c r="E8" s="78"/>
      <c r="F8" s="79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187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65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104</v>
      </c>
      <c r="C14" s="78"/>
      <c r="D14" s="78"/>
      <c r="E14" s="78"/>
      <c r="F14" s="79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187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89</v>
      </c>
      <c r="C18" s="10">
        <f>C17*(1+'Fane 13. Nøgletal'!C12)^2</f>
        <v>0</v>
      </c>
      <c r="D18" s="11" t="s">
        <v>3</v>
      </c>
      <c r="E18" s="10">
        <f>E17*(1+'Fane 13.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102</v>
      </c>
      <c r="C20" s="78"/>
      <c r="D20" s="78"/>
      <c r="E20" s="78"/>
      <c r="F20" s="79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187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90</v>
      </c>
      <c r="C24" s="10">
        <f>C23*(1+'Fane 13. Nøgletal'!C12)^3</f>
        <v>0</v>
      </c>
      <c r="D24" s="11" t="s">
        <v>3</v>
      </c>
      <c r="E24" s="10">
        <f>E23*(1+'Fane 13.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105</v>
      </c>
      <c r="C26" s="78"/>
      <c r="D26" s="78"/>
      <c r="E26" s="78"/>
      <c r="F26" s="79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187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91</v>
      </c>
      <c r="C30" s="10">
        <f>C29*(1+'Fane 13. Nøgletal'!C12)^4</f>
        <v>0</v>
      </c>
      <c r="D30" s="11" t="s">
        <v>3</v>
      </c>
      <c r="E30" s="10">
        <f>E29*(1+'Fane 13.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zUiAavrMVgWZ8JOpuUTZeEvx72PL/uw+VXl1DOHkKr7+BfjoWKEisAz/MNrxr6swYRCnd/seJqC0oLK5uHjUA==" saltValue="YLMKR3m5ID1ZaXqf+rk61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148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101" t="s">
        <v>11</v>
      </c>
      <c r="C9" s="102"/>
      <c r="D9" s="102"/>
      <c r="E9" s="102"/>
      <c r="F9" s="103"/>
      <c r="G9" s="8">
        <v>-1505088</v>
      </c>
      <c r="H9" s="12" t="s">
        <v>3</v>
      </c>
      <c r="I9" s="1"/>
    </row>
    <row r="10" spans="1:9" x14ac:dyDescent="0.25">
      <c r="A10" s="1"/>
      <c r="B10" s="101" t="s">
        <v>78</v>
      </c>
      <c r="C10" s="102"/>
      <c r="D10" s="102"/>
      <c r="E10" s="102"/>
      <c r="F10" s="103"/>
      <c r="G10" s="8">
        <v>0</v>
      </c>
      <c r="H10" s="12" t="s">
        <v>3</v>
      </c>
      <c r="I10" s="1"/>
    </row>
    <row r="11" spans="1:9" x14ac:dyDescent="0.25">
      <c r="A11" s="1"/>
      <c r="B11" s="101" t="s">
        <v>70</v>
      </c>
      <c r="C11" s="102"/>
      <c r="D11" s="102"/>
      <c r="E11" s="102"/>
      <c r="F11" s="103"/>
      <c r="G11" s="8">
        <v>1386422.2433862435</v>
      </c>
      <c r="H11" s="12" t="s">
        <v>3</v>
      </c>
      <c r="I11" s="1"/>
    </row>
    <row r="12" spans="1:9" x14ac:dyDescent="0.25">
      <c r="A12" s="1"/>
      <c r="B12" s="104" t="s">
        <v>14</v>
      </c>
      <c r="C12" s="105"/>
      <c r="D12" s="105"/>
      <c r="E12" s="105"/>
      <c r="F12" s="106"/>
      <c r="G12" s="17">
        <f>(G9+G10)+G11</f>
        <v>-118665.75661375653</v>
      </c>
      <c r="H12" s="16" t="s">
        <v>3</v>
      </c>
      <c r="I12" s="1"/>
    </row>
    <row r="13" spans="1:9" x14ac:dyDescent="0.25">
      <c r="A13" s="1"/>
      <c r="B13" s="101" t="s">
        <v>12</v>
      </c>
      <c r="C13" s="102"/>
      <c r="D13" s="102"/>
      <c r="E13" s="102"/>
      <c r="F13" s="103"/>
      <c r="G13" s="8">
        <v>1</v>
      </c>
      <c r="H13" s="12" t="s">
        <v>27</v>
      </c>
      <c r="I13" s="1"/>
    </row>
    <row r="14" spans="1:9" x14ac:dyDescent="0.25">
      <c r="A14" s="1"/>
      <c r="B14" s="77" t="s">
        <v>79</v>
      </c>
      <c r="C14" s="78"/>
      <c r="D14" s="78"/>
      <c r="E14" s="78"/>
      <c r="F14" s="79"/>
      <c r="G14" s="10">
        <f>IF(G13 = 0,0,-G12/G13)</f>
        <v>118665.75661375653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P/ALSCNSSYNcm5Qhk456p0d0FU+SitvMDvz21zST5wDWkKWtL2Ng/FXlz30YbtTo29u+m8mlr0mB2xMYWQMQw==" saltValue="ByshCmV9t+j73cxnA1PTE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141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161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63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137</v>
      </c>
      <c r="C16" s="48"/>
      <c r="D16" s="1"/>
    </row>
    <row r="17" spans="1:4" x14ac:dyDescent="0.25">
      <c r="A17" s="1"/>
      <c r="B17" s="30" t="s">
        <v>162</v>
      </c>
      <c r="C17" s="23">
        <v>1.7000000000000001E-2</v>
      </c>
      <c r="D17" s="1"/>
    </row>
    <row r="18" spans="1:4" x14ac:dyDescent="0.25">
      <c r="A18" s="1"/>
      <c r="B18" s="107"/>
      <c r="C18" s="10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n6nF0VvEYs0j1VSuJbUJ4G0YtNIwuCvA1wSKg3FeTulJ34QdAvc2LS1+2+FainVguQKDxf24x2SuE3yZQBlhNw==" saltValue="9t/ljwAvWsiHhhd+hAct+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57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19</v>
      </c>
      <c r="C8" s="39"/>
      <c r="D8" s="39"/>
      <c r="E8" s="39"/>
      <c r="F8" s="39"/>
      <c r="G8" s="1"/>
    </row>
    <row r="9" spans="1:7" x14ac:dyDescent="0.25">
      <c r="A9" s="1"/>
      <c r="B9" s="41" t="s">
        <v>35</v>
      </c>
      <c r="C9" s="41"/>
      <c r="D9" s="41"/>
      <c r="E9" s="7">
        <f>'Fane 3. Omkostninger i ØR2019'!$E$15</f>
        <v>18526923.173795309</v>
      </c>
      <c r="F9" s="41" t="s">
        <v>3</v>
      </c>
      <c r="G9" s="1"/>
    </row>
    <row r="10" spans="1:7" x14ac:dyDescent="0.25">
      <c r="A10" s="1"/>
      <c r="B10" s="42" t="s">
        <v>169</v>
      </c>
      <c r="C10" s="41"/>
      <c r="D10" s="41"/>
      <c r="E10" s="7">
        <f>'Fane 3. Omkostninger i ØR2019'!$E$10*(1-'Fane 13. Nøgletal'!C17)*(1+'Fane 13. Nøgletal'!C10)</f>
        <v>0</v>
      </c>
      <c r="F10" s="41" t="s">
        <v>3</v>
      </c>
      <c r="G10" s="1"/>
    </row>
    <row r="11" spans="1:7" x14ac:dyDescent="0.25">
      <c r="A11" s="1"/>
      <c r="B11" s="42" t="s">
        <v>172</v>
      </c>
      <c r="C11" s="41"/>
      <c r="D11" s="41"/>
      <c r="E11" s="7">
        <f>('Fane 3. Omkostninger i ØR2019'!$E$11+'Fane 3. Omkostninger i ØR2019'!$E$12)*(1-'Fane 13. Nøgletal'!C17)*(1+'Fane 13. Nøgletal'!C11)</f>
        <v>0</v>
      </c>
      <c r="F11" s="41" t="s">
        <v>3</v>
      </c>
      <c r="G11" s="1"/>
    </row>
    <row r="12" spans="1:7" ht="17.100000000000001" customHeight="1" x14ac:dyDescent="0.25">
      <c r="A12" s="1"/>
      <c r="B12" s="31" t="s">
        <v>170</v>
      </c>
      <c r="C12" s="41"/>
      <c r="D12" s="41"/>
      <c r="E12" s="7">
        <f>'Fane 8.1. Varige tillæg'!C12+'Fane 8.1. Varige tillæg'!E12</f>
        <v>0</v>
      </c>
      <c r="F12" s="41" t="s">
        <v>3</v>
      </c>
      <c r="G12" s="1"/>
    </row>
    <row r="13" spans="1:7" ht="17.100000000000001" customHeight="1" x14ac:dyDescent="0.25">
      <c r="A13" s="1"/>
      <c r="B13" s="31" t="s">
        <v>171</v>
      </c>
      <c r="C13" s="41"/>
      <c r="D13" s="41"/>
      <c r="E13" s="8">
        <f>-('Fane 11. Bortfald'!C12+'Fane 11. Bortfald'!E12)</f>
        <v>0</v>
      </c>
      <c r="F13" s="41" t="s">
        <v>3</v>
      </c>
      <c r="G13" s="1"/>
    </row>
    <row r="14" spans="1:7" ht="17.100000000000001" customHeight="1" x14ac:dyDescent="0.25">
      <c r="A14" s="1"/>
      <c r="B14" s="31" t="s">
        <v>130</v>
      </c>
      <c r="C14" s="41"/>
      <c r="D14" s="41"/>
      <c r="E14" s="8">
        <f>'Fane 10. Tilknyttet aktivitet'!C12+'Fane 10. Tilknyttet aktivitet'!E12</f>
        <v>0</v>
      </c>
      <c r="F14" s="41" t="s">
        <v>3</v>
      </c>
      <c r="G14" s="1"/>
    </row>
    <row r="15" spans="1:7" ht="17.100000000000001" customHeight="1" x14ac:dyDescent="0.25">
      <c r="A15" s="1"/>
      <c r="B15" s="31" t="s">
        <v>26</v>
      </c>
      <c r="C15" s="41"/>
      <c r="D15" s="41"/>
      <c r="E15" s="8">
        <f>(E9-SUM(E10:E11))*'Fane 13. Nøgletal'!C9+E10*'Fane 13. Nøgletal'!C10+E11*'Fane 13. Nøgletal'!C11+SUM(E12:E14)*'Fane 13. Nøgletal'!C12</f>
        <v>235291.92430720042</v>
      </c>
      <c r="F15" s="41" t="s">
        <v>3</v>
      </c>
      <c r="G15" s="1"/>
    </row>
    <row r="16" spans="1:7" ht="17.100000000000001" customHeight="1" x14ac:dyDescent="0.25">
      <c r="A16" s="1"/>
      <c r="B16" s="31" t="s">
        <v>137</v>
      </c>
      <c r="C16" s="41"/>
      <c r="D16" s="41"/>
      <c r="E16" s="8">
        <f>-SUM(E9,E12:E15)*'Fane 13. Nøgletal'!C17</f>
        <v>-318957.6566677427</v>
      </c>
      <c r="F16" s="41" t="s">
        <v>3</v>
      </c>
      <c r="G16" s="1"/>
    </row>
    <row r="17" spans="1:7" ht="17.100000000000001" customHeight="1" x14ac:dyDescent="0.25">
      <c r="A17" s="1"/>
      <c r="B17" s="43" t="s">
        <v>28</v>
      </c>
      <c r="C17" s="38"/>
      <c r="D17" s="38"/>
      <c r="E17" s="9">
        <f>SUM(E9,E12:E16)</f>
        <v>18443257.441434767</v>
      </c>
      <c r="F17" s="36" t="s">
        <v>3</v>
      </c>
      <c r="G17" s="1"/>
    </row>
    <row r="18" spans="1:7" ht="15" customHeight="1" x14ac:dyDescent="0.25">
      <c r="A18" s="1"/>
      <c r="B18" s="39" t="s">
        <v>16</v>
      </c>
      <c r="C18" s="39"/>
      <c r="D18" s="39"/>
      <c r="E18" s="39"/>
      <c r="F18" s="39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omk.'!C14+'Fane 4. Ikke-påvirkelige omk.'!C18+'Fane 4. Ikke-påvirkelige omk.'!C26</f>
        <v>202495.61116323</v>
      </c>
      <c r="F19" s="36" t="s">
        <v>3</v>
      </c>
      <c r="G19" s="1"/>
    </row>
    <row r="20" spans="1:7" ht="15" customHeight="1" x14ac:dyDescent="0.25">
      <c r="A20" s="1"/>
      <c r="B20" s="39" t="s">
        <v>86</v>
      </c>
      <c r="C20" s="39"/>
      <c r="D20" s="39"/>
      <c r="E20" s="39"/>
      <c r="F20" s="39"/>
      <c r="G20" s="1"/>
    </row>
    <row r="21" spans="1:7" ht="15" customHeight="1" x14ac:dyDescent="0.25">
      <c r="A21" s="1"/>
      <c r="B21" s="43" t="s">
        <v>86</v>
      </c>
      <c r="C21" s="38"/>
      <c r="D21" s="38"/>
      <c r="E21" s="9">
        <f>'Fane 9. Periodevise driftsomk.'!E11</f>
        <v>0</v>
      </c>
      <c r="F21" s="36" t="s">
        <v>3</v>
      </c>
      <c r="G21" s="1"/>
    </row>
    <row r="22" spans="1:7" ht="15" customHeight="1" x14ac:dyDescent="0.25">
      <c r="A22" s="1"/>
      <c r="B22" s="39" t="s">
        <v>85</v>
      </c>
      <c r="C22" s="39"/>
      <c r="D22" s="39"/>
      <c r="E22" s="39"/>
      <c r="F22" s="39"/>
      <c r="G22" s="1"/>
    </row>
    <row r="23" spans="1:7" ht="15" customHeight="1" x14ac:dyDescent="0.25">
      <c r="A23" s="1"/>
      <c r="B23" s="31" t="s">
        <v>81</v>
      </c>
      <c r="C23" s="41"/>
      <c r="D23" s="41"/>
      <c r="E23" s="8">
        <f>'Fane 8.2. Engangstillæg'!C13</f>
        <v>0</v>
      </c>
      <c r="F23" s="41" t="s">
        <v>3</v>
      </c>
      <c r="G23" s="1"/>
    </row>
    <row r="24" spans="1:7" ht="15" customHeight="1" x14ac:dyDescent="0.25">
      <c r="A24" s="1"/>
      <c r="B24" s="31" t="s">
        <v>82</v>
      </c>
      <c r="C24" s="41"/>
      <c r="D24" s="41"/>
      <c r="E24" s="8">
        <f>'Fane 8.2. Engangstillæg'!E13</f>
        <v>0</v>
      </c>
      <c r="F24" s="41" t="s">
        <v>3</v>
      </c>
      <c r="G24" s="1"/>
    </row>
    <row r="25" spans="1:7" x14ac:dyDescent="0.25">
      <c r="A25" s="1"/>
      <c r="B25" s="43" t="s">
        <v>88</v>
      </c>
      <c r="C25" s="38"/>
      <c r="D25" s="38"/>
      <c r="E25" s="9">
        <f>SUM(E23:E24)</f>
        <v>0</v>
      </c>
      <c r="F25" s="36" t="s">
        <v>3</v>
      </c>
      <c r="G25" s="1"/>
    </row>
    <row r="26" spans="1:7" x14ac:dyDescent="0.25">
      <c r="A26" s="1"/>
      <c r="B26" s="39" t="s">
        <v>10</v>
      </c>
      <c r="C26" s="39"/>
      <c r="D26" s="39"/>
      <c r="E26" s="39"/>
      <c r="F26" s="39"/>
      <c r="G26" s="1"/>
    </row>
    <row r="27" spans="1:7" ht="15" customHeight="1" x14ac:dyDescent="0.25">
      <c r="A27" s="1"/>
      <c r="B27" s="36" t="s">
        <v>18</v>
      </c>
      <c r="C27" s="36"/>
      <c r="D27" s="36"/>
      <c r="E27" s="9">
        <f>'Fane 12. Hist. over-underdæk.'!G14</f>
        <v>118665.75661375653</v>
      </c>
      <c r="F27" s="36" t="s">
        <v>3</v>
      </c>
      <c r="G27" s="1"/>
    </row>
    <row r="28" spans="1:7" ht="15" customHeight="1" x14ac:dyDescent="0.25">
      <c r="A28" s="1"/>
      <c r="B28" s="39" t="s">
        <v>179</v>
      </c>
      <c r="C28" s="39"/>
      <c r="D28" s="39"/>
      <c r="E28" s="39"/>
      <c r="F28" s="39"/>
      <c r="G28" s="1"/>
    </row>
    <row r="29" spans="1:7" x14ac:dyDescent="0.25">
      <c r="A29" s="1"/>
      <c r="B29" s="36" t="s">
        <v>180</v>
      </c>
      <c r="C29" s="36"/>
      <c r="D29" s="36"/>
      <c r="E29" s="9">
        <f>'Fane 6. Korrektioner'!E20</f>
        <v>0</v>
      </c>
      <c r="F29" s="36" t="s">
        <v>3</v>
      </c>
      <c r="G29" s="1"/>
    </row>
    <row r="30" spans="1:7" x14ac:dyDescent="0.25">
      <c r="A30" s="1"/>
      <c r="B30" s="39" t="s">
        <v>36</v>
      </c>
      <c r="C30" s="39"/>
      <c r="D30" s="39"/>
      <c r="E30" s="10">
        <f>SUM(E17,E19,E21,E25,E27,E29)</f>
        <v>18764418.809211753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/c+QxZXxqMlnrS8fLL18r0+5XDfVGu36clHz027rR7D8rAPGIA5OGnn4ux6FbxFwRan5WYvlomoxJQM9DqeNeA==" saltValue="TTdUyScP8LFOqoeCQI6mi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74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19</v>
      </c>
      <c r="C8" s="39"/>
      <c r="D8" s="39"/>
      <c r="E8" s="39"/>
      <c r="F8" s="39"/>
      <c r="G8" s="1"/>
    </row>
    <row r="9" spans="1:7" ht="15" customHeight="1" x14ac:dyDescent="0.25">
      <c r="A9" s="1"/>
      <c r="B9" s="41" t="s">
        <v>37</v>
      </c>
      <c r="C9" s="41"/>
      <c r="D9" s="41"/>
      <c r="E9" s="7">
        <f>'Fane 2.1. Økonomisk ramme 2020'!E17</f>
        <v>18443257.441434767</v>
      </c>
      <c r="F9" s="41" t="s">
        <v>3</v>
      </c>
      <c r="G9" s="1"/>
    </row>
    <row r="10" spans="1:7" ht="15" customHeight="1" x14ac:dyDescent="0.25">
      <c r="A10" s="1"/>
      <c r="B10" s="41" t="s">
        <v>192</v>
      </c>
      <c r="C10" s="41"/>
      <c r="D10" s="41"/>
      <c r="E10" s="7">
        <v>-161673.92143222701</v>
      </c>
      <c r="F10" s="41" t="s">
        <v>3</v>
      </c>
      <c r="G10" s="1"/>
    </row>
    <row r="11" spans="1:7" ht="15" customHeight="1" x14ac:dyDescent="0.25">
      <c r="A11" s="1"/>
      <c r="B11" s="31" t="s">
        <v>171</v>
      </c>
      <c r="C11" s="41"/>
      <c r="D11" s="41"/>
      <c r="E11" s="7">
        <f>-('Fane 11. Bortfald'!C18+'Fane 11. Bortfald'!E18)</f>
        <v>0</v>
      </c>
      <c r="F11" s="41" t="s">
        <v>3</v>
      </c>
      <c r="G11" s="1"/>
    </row>
    <row r="12" spans="1:7" ht="15" customHeight="1" x14ac:dyDescent="0.25">
      <c r="A12" s="1"/>
      <c r="B12" s="37" t="s">
        <v>26</v>
      </c>
      <c r="C12" s="41"/>
      <c r="D12" s="41"/>
      <c r="E12" s="8">
        <f>SUM(E9:E11)*'Fane 13. Nøgletal'!C12</f>
        <v>360147.19534405001</v>
      </c>
      <c r="F12" s="41" t="s">
        <v>3</v>
      </c>
      <c r="G12" s="1"/>
    </row>
    <row r="13" spans="1:7" ht="15" customHeight="1" x14ac:dyDescent="0.25">
      <c r="A13" s="1"/>
      <c r="B13" s="37" t="s">
        <v>137</v>
      </c>
      <c r="C13" s="41"/>
      <c r="D13" s="41"/>
      <c r="E13" s="8">
        <f>-SUM(E9:E12)*'Fane 13. Nøgletal'!C17</f>
        <v>-316909.42216089205</v>
      </c>
      <c r="F13" s="41" t="s">
        <v>3</v>
      </c>
      <c r="G13" s="1"/>
    </row>
    <row r="14" spans="1:7" ht="15" customHeight="1" x14ac:dyDescent="0.25">
      <c r="A14" s="1"/>
      <c r="B14" s="38" t="s">
        <v>28</v>
      </c>
      <c r="C14" s="38"/>
      <c r="D14" s="38"/>
      <c r="E14" s="9">
        <f>SUM(E9:E13)</f>
        <v>18324821.293185696</v>
      </c>
      <c r="F14" s="36" t="s">
        <v>3</v>
      </c>
      <c r="G14" s="1"/>
    </row>
    <row r="15" spans="1:7" x14ac:dyDescent="0.25">
      <c r="A15" s="1"/>
      <c r="B15" s="39" t="s">
        <v>16</v>
      </c>
      <c r="C15" s="39"/>
      <c r="D15" s="39"/>
      <c r="E15" s="39"/>
      <c r="F15" s="39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13. Nøgletal'!C12)+'Fane 4. Ikke-påvirkelige omk.'!C19+'Fane 4. Ikke-påvirkelige omk.'!C27</f>
        <v>206484.77470314564</v>
      </c>
      <c r="F16" s="36" t="s">
        <v>3</v>
      </c>
      <c r="G16" s="1"/>
    </row>
    <row r="17" spans="1:7" ht="15" customHeight="1" x14ac:dyDescent="0.25">
      <c r="A17" s="1"/>
      <c r="B17" s="39" t="s">
        <v>86</v>
      </c>
      <c r="C17" s="39"/>
      <c r="D17" s="39"/>
      <c r="E17" s="39"/>
      <c r="F17" s="39"/>
      <c r="G17" s="1"/>
    </row>
    <row r="18" spans="1:7" ht="15" customHeight="1" x14ac:dyDescent="0.25">
      <c r="A18" s="1"/>
      <c r="B18" s="43" t="s">
        <v>87</v>
      </c>
      <c r="C18" s="38"/>
      <c r="D18" s="38"/>
      <c r="E18" s="9">
        <f>'Fane 9. Periodevise driftsomk.'!E16</f>
        <v>0</v>
      </c>
      <c r="F18" s="36" t="s">
        <v>3</v>
      </c>
      <c r="G18" s="1"/>
    </row>
    <row r="19" spans="1:7" ht="15" customHeight="1" x14ac:dyDescent="0.25">
      <c r="A19" s="1"/>
      <c r="B19" s="39" t="s">
        <v>85</v>
      </c>
      <c r="C19" s="39"/>
      <c r="D19" s="39"/>
      <c r="E19" s="39"/>
      <c r="F19" s="39"/>
      <c r="G19" s="1"/>
    </row>
    <row r="20" spans="1:7" ht="15" customHeight="1" x14ac:dyDescent="0.25">
      <c r="A20" s="1"/>
      <c r="B20" s="31" t="s">
        <v>81</v>
      </c>
      <c r="C20" s="41"/>
      <c r="D20" s="41"/>
      <c r="E20" s="8">
        <f>'Fane 8.2. Engangstillæg'!C20</f>
        <v>0</v>
      </c>
      <c r="F20" s="41" t="s">
        <v>3</v>
      </c>
      <c r="G20" s="1"/>
    </row>
    <row r="21" spans="1:7" ht="15" customHeight="1" x14ac:dyDescent="0.25">
      <c r="A21" s="1"/>
      <c r="B21" s="31" t="s">
        <v>82</v>
      </c>
      <c r="C21" s="41"/>
      <c r="D21" s="41"/>
      <c r="E21" s="8">
        <f>'Fane 8.2. Engangstillæg'!E20</f>
        <v>0</v>
      </c>
      <c r="F21" s="41" t="s">
        <v>3</v>
      </c>
      <c r="G21" s="1"/>
    </row>
    <row r="22" spans="1:7" ht="15" customHeight="1" x14ac:dyDescent="0.25">
      <c r="A22" s="1"/>
      <c r="B22" s="43" t="s">
        <v>88</v>
      </c>
      <c r="C22" s="38"/>
      <c r="D22" s="38"/>
      <c r="E22" s="9">
        <f>SUM(E20:E21)</f>
        <v>0</v>
      </c>
      <c r="F22" s="36" t="s">
        <v>3</v>
      </c>
      <c r="G22" s="1"/>
    </row>
    <row r="23" spans="1:7" x14ac:dyDescent="0.25">
      <c r="A23" s="1"/>
      <c r="B23" s="39" t="s">
        <v>107</v>
      </c>
      <c r="C23" s="39"/>
      <c r="D23" s="39"/>
      <c r="E23" s="39"/>
      <c r="F23" s="39"/>
      <c r="G23" s="1"/>
    </row>
    <row r="24" spans="1:7" ht="15" customHeight="1" x14ac:dyDescent="0.25">
      <c r="A24" s="1"/>
      <c r="B24" s="36" t="s">
        <v>159</v>
      </c>
      <c r="C24" s="36"/>
      <c r="D24" s="36"/>
      <c r="E24" s="9">
        <f>'Fane 5. Kontrol af ØR2018'!E35</f>
        <v>-322169.47703615733</v>
      </c>
      <c r="F24" s="36" t="s">
        <v>3</v>
      </c>
      <c r="G24" s="1"/>
    </row>
    <row r="25" spans="1:7" x14ac:dyDescent="0.25">
      <c r="A25" s="1"/>
      <c r="B25" s="39" t="s">
        <v>39</v>
      </c>
      <c r="C25" s="39"/>
      <c r="D25" s="39"/>
      <c r="E25" s="10">
        <f>SUM(E14,E16,E18,E22,E24)</f>
        <v>18209136.590852685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Sq2LteBvd63sBHz957PdQbggaht24BS4CFK8DO2SE32E1a2j5oeh9BW3dwIJBDauxnxF5VLcOEgXVSrtoT7F8g==" saltValue="AseJWZhUaTUGNKuCY1SCl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174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19</v>
      </c>
      <c r="C7" s="39"/>
      <c r="D7" s="39"/>
      <c r="E7" s="39"/>
      <c r="F7" s="39"/>
      <c r="G7" s="1"/>
    </row>
    <row r="8" spans="1:7" ht="15" customHeight="1" x14ac:dyDescent="0.25">
      <c r="A8" s="1"/>
      <c r="B8" s="41" t="s">
        <v>37</v>
      </c>
      <c r="C8" s="41"/>
      <c r="D8" s="41"/>
      <c r="E8" s="7">
        <f>'Fane 2.2. Økonomisk ramme 2021'!E14</f>
        <v>18324821.293185696</v>
      </c>
      <c r="F8" s="41" t="s">
        <v>3</v>
      </c>
      <c r="G8" s="1"/>
    </row>
    <row r="9" spans="1:7" ht="15" customHeight="1" x14ac:dyDescent="0.25">
      <c r="A9" s="1"/>
      <c r="B9" s="41" t="s">
        <v>171</v>
      </c>
      <c r="C9" s="41"/>
      <c r="D9" s="41"/>
      <c r="E9" s="7">
        <f>-('Fane 11. Bortfald'!C24+'Fane 11. Bortfald'!E24)</f>
        <v>0</v>
      </c>
      <c r="F9" s="41" t="s">
        <v>3</v>
      </c>
      <c r="G9" s="1"/>
    </row>
    <row r="10" spans="1:7" ht="15" customHeight="1" x14ac:dyDescent="0.25">
      <c r="A10" s="1"/>
      <c r="B10" s="37" t="s">
        <v>26</v>
      </c>
      <c r="C10" s="41"/>
      <c r="D10" s="41"/>
      <c r="E10" s="8">
        <f>SUM(E8:E9)*'Fane 13. Nøgletal'!C12</f>
        <v>360998.97947575821</v>
      </c>
      <c r="F10" s="41" t="s">
        <v>3</v>
      </c>
      <c r="G10" s="1"/>
    </row>
    <row r="11" spans="1:7" ht="15" customHeight="1" x14ac:dyDescent="0.25">
      <c r="A11" s="1"/>
      <c r="B11" s="37" t="s">
        <v>137</v>
      </c>
      <c r="C11" s="41"/>
      <c r="D11" s="41"/>
      <c r="E11" s="8">
        <f>-SUM(E8:E10)*'Fane 13. Nøgletal'!C17</f>
        <v>-317658.94463524478</v>
      </c>
      <c r="F11" s="41" t="s">
        <v>3</v>
      </c>
      <c r="G11" s="1"/>
    </row>
    <row r="12" spans="1:7" x14ac:dyDescent="0.25">
      <c r="A12" s="1"/>
      <c r="B12" s="38" t="s">
        <v>28</v>
      </c>
      <c r="C12" s="38"/>
      <c r="D12" s="38"/>
      <c r="E12" s="9">
        <f>SUM(E8:E11)</f>
        <v>18368161.328026209</v>
      </c>
      <c r="F12" s="36" t="s">
        <v>3</v>
      </c>
      <c r="G12" s="1"/>
    </row>
    <row r="13" spans="1:7" x14ac:dyDescent="0.25">
      <c r="A13" s="1"/>
      <c r="B13" s="39" t="s">
        <v>16</v>
      </c>
      <c r="C13" s="39"/>
      <c r="D13" s="39"/>
      <c r="E13" s="39"/>
      <c r="F13" s="39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13. Nøgletal'!C12)^2+'Fane 4. Ikke-påvirkelige omk.'!C20+'Fane 4. Ikke-påvirkelige omk.'!C28</f>
        <v>210552.52476479762</v>
      </c>
      <c r="F14" s="36" t="s">
        <v>3</v>
      </c>
      <c r="G14" s="1"/>
    </row>
    <row r="15" spans="1:7" ht="15" customHeight="1" x14ac:dyDescent="0.25">
      <c r="A15" s="1"/>
      <c r="B15" s="39" t="s">
        <v>86</v>
      </c>
      <c r="C15" s="39"/>
      <c r="D15" s="39"/>
      <c r="E15" s="39"/>
      <c r="F15" s="39"/>
      <c r="G15" s="1"/>
    </row>
    <row r="16" spans="1:7" ht="15" customHeight="1" x14ac:dyDescent="0.25">
      <c r="A16" s="1"/>
      <c r="B16" s="43" t="s">
        <v>87</v>
      </c>
      <c r="C16" s="38"/>
      <c r="D16" s="38"/>
      <c r="E16" s="9">
        <f>'Fane 9. Periodevise driftsomk.'!E21</f>
        <v>0</v>
      </c>
      <c r="F16" s="36" t="s">
        <v>3</v>
      </c>
      <c r="G16" s="1"/>
    </row>
    <row r="17" spans="1:7" ht="15" customHeight="1" x14ac:dyDescent="0.25">
      <c r="A17" s="1"/>
      <c r="B17" s="39" t="s">
        <v>85</v>
      </c>
      <c r="C17" s="39"/>
      <c r="D17" s="39"/>
      <c r="E17" s="39"/>
      <c r="F17" s="39"/>
      <c r="G17" s="1"/>
    </row>
    <row r="18" spans="1:7" ht="15" customHeight="1" x14ac:dyDescent="0.25">
      <c r="A18" s="1"/>
      <c r="B18" s="31" t="s">
        <v>81</v>
      </c>
      <c r="C18" s="41"/>
      <c r="D18" s="41"/>
      <c r="E18" s="8">
        <f>'Fane 8.2. Engangstillæg'!C27</f>
        <v>0</v>
      </c>
      <c r="F18" s="41" t="s">
        <v>3</v>
      </c>
      <c r="G18" s="1"/>
    </row>
    <row r="19" spans="1:7" ht="15" customHeight="1" x14ac:dyDescent="0.25">
      <c r="A19" s="1"/>
      <c r="B19" s="31" t="s">
        <v>82</v>
      </c>
      <c r="C19" s="41"/>
      <c r="D19" s="41"/>
      <c r="E19" s="8">
        <f>'Fane 8.2. Engangstillæg'!E27</f>
        <v>0</v>
      </c>
      <c r="F19" s="41" t="s">
        <v>3</v>
      </c>
      <c r="G19" s="1"/>
    </row>
    <row r="20" spans="1:7" ht="15" customHeight="1" x14ac:dyDescent="0.25">
      <c r="A20" s="1"/>
      <c r="B20" s="43" t="s">
        <v>88</v>
      </c>
      <c r="C20" s="38"/>
      <c r="D20" s="38"/>
      <c r="E20" s="9">
        <f>SUM(E18:E19)</f>
        <v>0</v>
      </c>
      <c r="F20" s="36" t="s">
        <v>3</v>
      </c>
      <c r="G20" s="1"/>
    </row>
    <row r="21" spans="1:7" ht="15" customHeight="1" x14ac:dyDescent="0.25">
      <c r="A21" s="1"/>
      <c r="B21" s="39" t="s">
        <v>107</v>
      </c>
      <c r="C21" s="39"/>
      <c r="D21" s="39"/>
      <c r="E21" s="39"/>
      <c r="F21" s="39"/>
      <c r="G21" s="1"/>
    </row>
    <row r="22" spans="1:7" ht="15" customHeight="1" x14ac:dyDescent="0.25">
      <c r="A22" s="1"/>
      <c r="B22" s="36" t="s">
        <v>159</v>
      </c>
      <c r="C22" s="36"/>
      <c r="D22" s="36"/>
      <c r="E22" s="9">
        <f>'Fane 2.2. Økonomisk ramme 2021'!E24</f>
        <v>-322169.47703615733</v>
      </c>
      <c r="F22" s="36" t="s">
        <v>3</v>
      </c>
      <c r="G22" s="1"/>
    </row>
    <row r="23" spans="1:7" x14ac:dyDescent="0.25">
      <c r="A23" s="1"/>
      <c r="B23" s="39" t="s">
        <v>40</v>
      </c>
      <c r="C23" s="39"/>
      <c r="D23" s="39"/>
      <c r="E23" s="10">
        <f>SUM(E12,E14,E16,E20,E22)</f>
        <v>18256544.375754852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3f4kKaO/dOGodNQwHADlH48UoCKmUj+fa/IJUgS9pkbVMINUeKoVn04q3eyI/zKnxTet4dpPaDTBZkBXjr8BWA==" saltValue="LA6Kbhme1SJVljq6112do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19</v>
      </c>
      <c r="C7" s="39"/>
      <c r="D7" s="39"/>
      <c r="E7" s="39"/>
      <c r="F7" s="39"/>
      <c r="G7" s="1"/>
    </row>
    <row r="8" spans="1:7" ht="15" customHeight="1" x14ac:dyDescent="0.25">
      <c r="A8" s="1"/>
      <c r="B8" s="41" t="s">
        <v>38</v>
      </c>
      <c r="C8" s="41"/>
      <c r="D8" s="41"/>
      <c r="E8" s="7">
        <f>'Fane 2.3. Økonomisk ramme 2022'!E12</f>
        <v>18368161.328026209</v>
      </c>
      <c r="F8" s="41" t="s">
        <v>3</v>
      </c>
      <c r="G8" s="1"/>
    </row>
    <row r="9" spans="1:7" ht="15" customHeight="1" x14ac:dyDescent="0.25">
      <c r="A9" s="1"/>
      <c r="B9" s="41" t="s">
        <v>171</v>
      </c>
      <c r="C9" s="41"/>
      <c r="D9" s="41"/>
      <c r="E9" s="7">
        <f>-('Fane 11. Bortfald'!C30+'Fane 11. Bortfald'!E30)</f>
        <v>0</v>
      </c>
      <c r="F9" s="41" t="s">
        <v>3</v>
      </c>
      <c r="G9" s="1"/>
    </row>
    <row r="10" spans="1:7" ht="15" customHeight="1" x14ac:dyDescent="0.25">
      <c r="A10" s="1"/>
      <c r="B10" s="37" t="s">
        <v>26</v>
      </c>
      <c r="C10" s="41"/>
      <c r="D10" s="41"/>
      <c r="E10" s="8">
        <f>E8*'Fane 13. Nøgletal'!C12</f>
        <v>361852.7781621163</v>
      </c>
      <c r="F10" s="41" t="s">
        <v>3</v>
      </c>
      <c r="G10" s="1"/>
    </row>
    <row r="11" spans="1:7" ht="15" customHeight="1" x14ac:dyDescent="0.25">
      <c r="A11" s="1"/>
      <c r="B11" s="37" t="s">
        <v>137</v>
      </c>
      <c r="C11" s="41"/>
      <c r="D11" s="41"/>
      <c r="E11" s="8">
        <f>-SUM(E8:E10)*'Fane 13. Nøgletal'!C17</f>
        <v>-318410.23980520159</v>
      </c>
      <c r="F11" s="41" t="s">
        <v>3</v>
      </c>
      <c r="G11" s="1"/>
    </row>
    <row r="12" spans="1:7" x14ac:dyDescent="0.25">
      <c r="A12" s="1"/>
      <c r="B12" s="38" t="s">
        <v>28</v>
      </c>
      <c r="C12" s="38"/>
      <c r="D12" s="38"/>
      <c r="E12" s="9">
        <f>SUM(E8:E11)</f>
        <v>18411603.866383124</v>
      </c>
      <c r="F12" s="36" t="s">
        <v>3</v>
      </c>
      <c r="G12" s="1"/>
    </row>
    <row r="13" spans="1:7" x14ac:dyDescent="0.25">
      <c r="A13" s="1"/>
      <c r="B13" s="39" t="s">
        <v>16</v>
      </c>
      <c r="C13" s="39"/>
      <c r="D13" s="39"/>
      <c r="E13" s="39"/>
      <c r="F13" s="39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13. Nøgletal'!C12)^3+'Fane 4. Ikke-påvirkelige omk.'!C21+'Fane 4. Ikke-påvirkelige omk.'!C29</f>
        <v>214700.40950266412</v>
      </c>
      <c r="F14" s="36" t="s">
        <v>3</v>
      </c>
      <c r="G14" s="1"/>
    </row>
    <row r="15" spans="1:7" ht="15" customHeight="1" x14ac:dyDescent="0.25">
      <c r="A15" s="1"/>
      <c r="B15" s="39" t="s">
        <v>86</v>
      </c>
      <c r="C15" s="39"/>
      <c r="D15" s="39"/>
      <c r="E15" s="39"/>
      <c r="F15" s="39"/>
      <c r="G15" s="1"/>
    </row>
    <row r="16" spans="1:7" ht="15" customHeight="1" x14ac:dyDescent="0.25">
      <c r="A16" s="1"/>
      <c r="B16" s="43" t="s">
        <v>87</v>
      </c>
      <c r="C16" s="38"/>
      <c r="D16" s="38"/>
      <c r="E16" s="9">
        <f>'Fane 9. Periodevise driftsomk.'!E26</f>
        <v>0</v>
      </c>
      <c r="F16" s="36" t="s">
        <v>3</v>
      </c>
      <c r="G16" s="1"/>
    </row>
    <row r="17" spans="1:7" ht="15" customHeight="1" x14ac:dyDescent="0.25">
      <c r="A17" s="1"/>
      <c r="B17" s="39" t="s">
        <v>85</v>
      </c>
      <c r="C17" s="39"/>
      <c r="D17" s="39"/>
      <c r="E17" s="39"/>
      <c r="F17" s="39"/>
      <c r="G17" s="1"/>
    </row>
    <row r="18" spans="1:7" ht="15" customHeight="1" x14ac:dyDescent="0.25">
      <c r="A18" s="1"/>
      <c r="B18" s="31" t="s">
        <v>81</v>
      </c>
      <c r="C18" s="41"/>
      <c r="D18" s="41"/>
      <c r="E18" s="8">
        <f>'Fane 8.2. Engangstillæg'!C34</f>
        <v>0</v>
      </c>
      <c r="F18" s="41" t="s">
        <v>3</v>
      </c>
      <c r="G18" s="1"/>
    </row>
    <row r="19" spans="1:7" ht="15" customHeight="1" x14ac:dyDescent="0.25">
      <c r="A19" s="1"/>
      <c r="B19" s="31" t="s">
        <v>82</v>
      </c>
      <c r="C19" s="41"/>
      <c r="D19" s="41"/>
      <c r="E19" s="8">
        <f>'Fane 8.2. Engangstillæg'!E34</f>
        <v>0</v>
      </c>
      <c r="F19" s="41" t="s">
        <v>3</v>
      </c>
      <c r="G19" s="1"/>
    </row>
    <row r="20" spans="1:7" ht="15" customHeight="1" x14ac:dyDescent="0.25">
      <c r="A20" s="1"/>
      <c r="B20" s="43" t="s">
        <v>88</v>
      </c>
      <c r="C20" s="38"/>
      <c r="D20" s="38"/>
      <c r="E20" s="9">
        <f>SUM(E18:E19)</f>
        <v>0</v>
      </c>
      <c r="F20" s="36" t="s">
        <v>3</v>
      </c>
      <c r="G20" s="1"/>
    </row>
    <row r="21" spans="1:7" ht="15" customHeight="1" x14ac:dyDescent="0.25">
      <c r="A21" s="1"/>
      <c r="B21" s="39" t="s">
        <v>107</v>
      </c>
      <c r="C21" s="39"/>
      <c r="D21" s="39"/>
      <c r="E21" s="39"/>
      <c r="F21" s="39"/>
      <c r="G21" s="1"/>
    </row>
    <row r="22" spans="1:7" ht="15" customHeight="1" x14ac:dyDescent="0.25">
      <c r="A22" s="1"/>
      <c r="B22" s="36" t="s">
        <v>159</v>
      </c>
      <c r="C22" s="36"/>
      <c r="D22" s="36"/>
      <c r="E22" s="9">
        <f>'Fane 2.3. Økonomisk ramme 2022'!E22</f>
        <v>-322169.47703615733</v>
      </c>
      <c r="F22" s="36" t="s">
        <v>3</v>
      </c>
      <c r="G22" s="1"/>
    </row>
    <row r="23" spans="1:7" x14ac:dyDescent="0.25">
      <c r="A23" s="1"/>
      <c r="B23" s="39" t="s">
        <v>92</v>
      </c>
      <c r="C23" s="39"/>
      <c r="D23" s="39"/>
      <c r="E23" s="10">
        <f>SUM(E12,E14,E16,E20,E22)</f>
        <v>18304134.798849631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2S6EyYPCf0yZCWyYmfAAp9mCaMsqXOdVt5+PWnrNrnmkwB45CJR+3dTUgaizw9DSmcLHeVPkzNxgEWBqV14Jw==" saltValue="ySm4KYHe0Fb4lN1gmQT2F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166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73</v>
      </c>
      <c r="C8" s="39"/>
      <c r="D8" s="39"/>
      <c r="E8" s="39"/>
      <c r="F8" s="39"/>
      <c r="G8" s="1"/>
    </row>
    <row r="9" spans="1:7" x14ac:dyDescent="0.25">
      <c r="A9" s="1"/>
      <c r="B9" s="70" t="s">
        <v>71</v>
      </c>
      <c r="C9" s="70"/>
      <c r="D9" s="70"/>
      <c r="E9" s="7">
        <v>18610968.446201511</v>
      </c>
      <c r="F9" s="41" t="s">
        <v>3</v>
      </c>
      <c r="G9" s="1"/>
    </row>
    <row r="10" spans="1:7" x14ac:dyDescent="0.25">
      <c r="A10" s="1"/>
      <c r="B10" s="72" t="s">
        <v>169</v>
      </c>
      <c r="C10" s="72"/>
      <c r="D10" s="72"/>
      <c r="E10" s="7">
        <v>0</v>
      </c>
      <c r="F10" s="41" t="s">
        <v>3</v>
      </c>
      <c r="G10" s="1"/>
    </row>
    <row r="11" spans="1:7" x14ac:dyDescent="0.25">
      <c r="A11" s="1"/>
      <c r="B11" s="71" t="s">
        <v>170</v>
      </c>
      <c r="C11" s="71"/>
      <c r="D11" s="71"/>
      <c r="E11" s="7">
        <v>0</v>
      </c>
      <c r="F11" s="41" t="s">
        <v>3</v>
      </c>
      <c r="G11" s="1"/>
    </row>
    <row r="12" spans="1:7" x14ac:dyDescent="0.25">
      <c r="A12" s="1"/>
      <c r="B12" s="71" t="s">
        <v>171</v>
      </c>
      <c r="C12" s="71"/>
      <c r="D12" s="71"/>
      <c r="E12" s="8">
        <v>0</v>
      </c>
      <c r="F12" s="41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(E9-E10)*'Fane 13. Nøgletal'!C9+E10*'Fane 13. Nøgletal'!C10+SUM(E11:E12)*'Fane 13. Nøgletal'!C11</f>
        <v>236359.29926675919</v>
      </c>
      <c r="F13" s="41" t="s">
        <v>3</v>
      </c>
      <c r="G13" s="1"/>
    </row>
    <row r="14" spans="1:7" x14ac:dyDescent="0.25">
      <c r="A14" s="1"/>
      <c r="B14" s="71" t="s">
        <v>137</v>
      </c>
      <c r="C14" s="71"/>
      <c r="D14" s="71"/>
      <c r="E14" s="8">
        <f>-SUM(E9:E9,E11:E13)*'Fane 13. Nøgletal'!C17</f>
        <v>-320404.57167296059</v>
      </c>
      <c r="F14" s="41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18526923.173795309</v>
      </c>
      <c r="F15" s="36" t="s">
        <v>3</v>
      </c>
      <c r="G15" s="1"/>
    </row>
    <row r="16" spans="1:7" x14ac:dyDescent="0.25">
      <c r="A16" s="1"/>
      <c r="B16" s="77" t="s">
        <v>86</v>
      </c>
      <c r="C16" s="78"/>
      <c r="D16" s="78"/>
      <c r="E16" s="78"/>
      <c r="F16" s="79"/>
      <c r="G16" s="1"/>
    </row>
    <row r="17" spans="1:7" x14ac:dyDescent="0.25">
      <c r="A17" s="1"/>
      <c r="B17" s="80" t="s">
        <v>164</v>
      </c>
      <c r="C17" s="81"/>
      <c r="D17" s="82"/>
      <c r="E17" s="34">
        <v>0</v>
      </c>
      <c r="F17" s="41" t="s">
        <v>3</v>
      </c>
      <c r="G17" s="1"/>
    </row>
    <row r="18" spans="1:7" x14ac:dyDescent="0.25">
      <c r="A18" s="1"/>
      <c r="B18" s="80" t="s">
        <v>167</v>
      </c>
      <c r="C18" s="81"/>
      <c r="D18" s="82"/>
      <c r="E18" s="34">
        <f>-E17*'Fane 13. Nøgletal'!C17</f>
        <v>0</v>
      </c>
      <c r="F18" s="41" t="s">
        <v>3</v>
      </c>
      <c r="G18" s="1"/>
    </row>
    <row r="19" spans="1:7" x14ac:dyDescent="0.25">
      <c r="A19" s="1"/>
      <c r="B19" s="83" t="s">
        <v>168</v>
      </c>
      <c r="C19" s="84"/>
      <c r="D19" s="85"/>
      <c r="E19" s="9">
        <f>SUM(E17:E18)</f>
        <v>0</v>
      </c>
      <c r="F19" s="36" t="s">
        <v>3</v>
      </c>
      <c r="G19" s="1"/>
    </row>
    <row r="20" spans="1:7" x14ac:dyDescent="0.25">
      <c r="A20" s="1"/>
      <c r="B20" s="86" t="s">
        <v>16</v>
      </c>
      <c r="C20" s="86"/>
      <c r="D20" s="86"/>
      <c r="E20" s="39"/>
      <c r="F20" s="39"/>
      <c r="G20" s="1"/>
    </row>
    <row r="21" spans="1:7" x14ac:dyDescent="0.25">
      <c r="A21" s="1"/>
      <c r="B21" s="75" t="s">
        <v>16</v>
      </c>
      <c r="C21" s="75"/>
      <c r="D21" s="75"/>
      <c r="E21" s="9">
        <v>202939.30096249995</v>
      </c>
      <c r="F21" s="36" t="s">
        <v>3</v>
      </c>
      <c r="G21" s="1"/>
    </row>
    <row r="22" spans="1:7" x14ac:dyDescent="0.25">
      <c r="A22" s="1"/>
      <c r="B22" s="39" t="s">
        <v>72</v>
      </c>
      <c r="C22" s="39"/>
      <c r="D22" s="39"/>
      <c r="E22" s="39"/>
      <c r="F22" s="39"/>
      <c r="G22" s="1"/>
    </row>
    <row r="23" spans="1:7" ht="27" customHeight="1" x14ac:dyDescent="0.25">
      <c r="A23" s="1"/>
      <c r="B23" s="74" t="s">
        <v>75</v>
      </c>
      <c r="C23" s="74"/>
      <c r="D23" s="74"/>
      <c r="E23" s="9">
        <v>1183.7675363964984</v>
      </c>
      <c r="F23" s="36" t="s">
        <v>3</v>
      </c>
      <c r="G23" s="1"/>
    </row>
    <row r="24" spans="1:7" x14ac:dyDescent="0.25">
      <c r="A24" s="1"/>
      <c r="B24" s="39" t="s">
        <v>10</v>
      </c>
      <c r="C24" s="39"/>
      <c r="D24" s="39"/>
      <c r="E24" s="39"/>
      <c r="F24" s="39"/>
      <c r="G24" s="1"/>
    </row>
    <row r="25" spans="1:7" x14ac:dyDescent="0.25">
      <c r="A25" s="1"/>
      <c r="B25" s="75" t="s">
        <v>18</v>
      </c>
      <c r="C25" s="75"/>
      <c r="D25" s="75"/>
      <c r="E25" s="9">
        <v>118666</v>
      </c>
      <c r="F25" s="36" t="s">
        <v>3</v>
      </c>
      <c r="G25" s="1"/>
    </row>
    <row r="26" spans="1:7" x14ac:dyDescent="0.25">
      <c r="A26" s="1"/>
      <c r="B26" s="39" t="s">
        <v>23</v>
      </c>
      <c r="C26" s="39"/>
      <c r="D26" s="39"/>
      <c r="E26" s="10">
        <f>SUM(E25,E23,E21,E15,E19)</f>
        <v>18849712.242294207</v>
      </c>
      <c r="F26" s="11" t="s">
        <v>3</v>
      </c>
      <c r="G26" s="1"/>
    </row>
    <row r="27" spans="1:7" ht="28.5" customHeight="1" x14ac:dyDescent="0.25">
      <c r="A27" s="1"/>
      <c r="B27" s="73" t="s">
        <v>140</v>
      </c>
      <c r="C27" s="73"/>
      <c r="D27" s="73"/>
      <c r="E27" s="73"/>
      <c r="F27" s="73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75v/4QGpqxJ4GDBiMiHPikZCKikwWlUJubzHg3ixvXJWwy/sTNwXOTHLtPrROZ2hQxWLA9UxkaJMgxCYBJBRQ==" saltValue="0jBppNnpKg/61KRq1ZUFKQ==" spinCount="100000" sheet="1" objects="1" scenarios="1"/>
  <mergeCells count="17">
    <mergeCell ref="B27:F27"/>
    <mergeCell ref="B23:D23"/>
    <mergeCell ref="B25:D25"/>
    <mergeCell ref="B13:D13"/>
    <mergeCell ref="B14:D14"/>
    <mergeCell ref="B15:D15"/>
    <mergeCell ref="B16:F16"/>
    <mergeCell ref="B17:D17"/>
    <mergeCell ref="B18:D18"/>
    <mergeCell ref="B19:D19"/>
    <mergeCell ref="B20:D20"/>
    <mergeCell ref="B21:D21"/>
    <mergeCell ref="B3:F4"/>
    <mergeCell ref="B9:D9"/>
    <mergeCell ref="B11:D11"/>
    <mergeCell ref="B12:D12"/>
    <mergeCell ref="B10:D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125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59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60</v>
      </c>
      <c r="D9" s="36"/>
      <c r="E9" s="1"/>
      <c r="F9" s="1"/>
    </row>
    <row r="10" spans="1:6" x14ac:dyDescent="0.25">
      <c r="A10" s="1"/>
      <c r="B10" s="30" t="s">
        <v>175</v>
      </c>
      <c r="C10" s="8">
        <v>161853</v>
      </c>
      <c r="D10" s="12" t="s">
        <v>3</v>
      </c>
      <c r="E10" s="1"/>
      <c r="F10" s="1"/>
    </row>
    <row r="11" spans="1:6" x14ac:dyDescent="0.25">
      <c r="A11" s="1"/>
      <c r="B11" s="30" t="s">
        <v>176</v>
      </c>
      <c r="C11" s="8">
        <v>2562</v>
      </c>
      <c r="D11" s="12" t="s">
        <v>3</v>
      </c>
      <c r="E11" s="1"/>
      <c r="F11" s="1"/>
    </row>
    <row r="12" spans="1:6" x14ac:dyDescent="0.25">
      <c r="A12" s="1"/>
      <c r="B12" s="30" t="s">
        <v>177</v>
      </c>
      <c r="C12" s="8">
        <v>30332</v>
      </c>
      <c r="D12" s="12" t="s">
        <v>3</v>
      </c>
      <c r="E12" s="1"/>
      <c r="F12" s="1"/>
    </row>
    <row r="13" spans="1:6" x14ac:dyDescent="0.25">
      <c r="A13" s="1"/>
      <c r="B13" s="47" t="s">
        <v>61</v>
      </c>
      <c r="C13" s="10">
        <f>SUM(C10:C12)</f>
        <v>194747</v>
      </c>
      <c r="D13" s="11" t="s">
        <v>3</v>
      </c>
      <c r="E13" s="1"/>
      <c r="F13" s="1"/>
    </row>
    <row r="14" spans="1:6" x14ac:dyDescent="0.25">
      <c r="A14" s="1"/>
      <c r="B14" s="47" t="s">
        <v>62</v>
      </c>
      <c r="C14" s="10">
        <f>C13*(1+'Fane 13. Nøgletal'!C12)^2</f>
        <v>202495.61116323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77" t="s">
        <v>160</v>
      </c>
      <c r="C17" s="78"/>
      <c r="D17" s="79"/>
      <c r="E17" s="1"/>
      <c r="F17" s="1"/>
    </row>
    <row r="18" spans="1:6" x14ac:dyDescent="0.25">
      <c r="A18" s="1"/>
      <c r="B18" s="30" t="s">
        <v>126</v>
      </c>
      <c r="C18" s="8">
        <v>0</v>
      </c>
      <c r="D18" s="12" t="s">
        <v>3</v>
      </c>
      <c r="E18" s="1"/>
      <c r="F18" s="1"/>
    </row>
    <row r="19" spans="1:6" x14ac:dyDescent="0.25">
      <c r="A19" s="1"/>
      <c r="B19" s="30" t="s">
        <v>127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30" t="s">
        <v>128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30" t="s">
        <v>129</v>
      </c>
      <c r="C21" s="8">
        <v>0</v>
      </c>
      <c r="D21" s="12" t="s">
        <v>3</v>
      </c>
      <c r="E21" s="1"/>
      <c r="F21" s="1"/>
    </row>
    <row r="22" spans="1:6" x14ac:dyDescent="0.25">
      <c r="A22" s="1"/>
      <c r="B22" s="77"/>
      <c r="C22" s="78"/>
      <c r="D22" s="79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77" t="s">
        <v>124</v>
      </c>
      <c r="C25" s="78"/>
      <c r="D25" s="79"/>
      <c r="E25" s="1"/>
      <c r="F25" s="1"/>
    </row>
    <row r="26" spans="1:6" x14ac:dyDescent="0.25">
      <c r="A26" s="1"/>
      <c r="B26" s="30" t="s">
        <v>126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30" t="s">
        <v>127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30" t="s">
        <v>128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30" t="s">
        <v>129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77"/>
      <c r="C30" s="78"/>
      <c r="D30" s="79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xIgWPnQxHiNkrnk+kQX+IBOcj7AiUwFgJF9H0dXUYKCTQouED1z/xFA9E7xn60oQle47e7IyiY+vBH+u2cn78w==" saltValue="UmjsNW8OCooWqbzPYyVco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142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40"/>
      <c r="C5" s="40"/>
      <c r="D5" s="40"/>
      <c r="E5" s="40"/>
      <c r="F5" s="40"/>
      <c r="G5" s="1"/>
    </row>
    <row r="6" spans="1:7" ht="15" customHeight="1" x14ac:dyDescent="0.25">
      <c r="A6" s="1"/>
      <c r="B6" s="87" t="s">
        <v>47</v>
      </c>
      <c r="C6" s="87"/>
      <c r="D6" s="87"/>
      <c r="E6" s="87"/>
      <c r="F6" s="87"/>
      <c r="G6" s="1"/>
    </row>
    <row r="7" spans="1:7" ht="15" customHeight="1" x14ac:dyDescent="0.25">
      <c r="A7" s="1"/>
      <c r="B7" s="88" t="s">
        <v>45</v>
      </c>
      <c r="C7" s="88"/>
      <c r="D7" s="88"/>
      <c r="E7" s="8">
        <v>-474069.27999999997</v>
      </c>
      <c r="F7" s="12" t="s">
        <v>3</v>
      </c>
      <c r="G7" s="1"/>
    </row>
    <row r="8" spans="1:7" ht="15" customHeight="1" x14ac:dyDescent="0.25">
      <c r="A8" s="1"/>
      <c r="B8" s="88" t="s">
        <v>46</v>
      </c>
      <c r="C8" s="88"/>
      <c r="D8" s="88"/>
      <c r="E8" s="8">
        <v>-814608.6281446293</v>
      </c>
      <c r="F8" s="12" t="s">
        <v>3</v>
      </c>
      <c r="G8" s="1"/>
    </row>
    <row r="9" spans="1:7" ht="15" customHeight="1" x14ac:dyDescent="0.25">
      <c r="A9" s="1"/>
      <c r="B9" s="83" t="s">
        <v>157</v>
      </c>
      <c r="C9" s="84"/>
      <c r="D9" s="85"/>
      <c r="E9" s="9">
        <f>SUM(E7:E8)</f>
        <v>-1288677.9081446293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73" t="s">
        <v>135</v>
      </c>
      <c r="C11" s="73"/>
      <c r="D11" s="73"/>
      <c r="E11" s="73"/>
      <c r="F11" s="73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7" t="s">
        <v>113</v>
      </c>
      <c r="C14" s="87"/>
      <c r="D14" s="87"/>
      <c r="E14" s="87"/>
      <c r="F14" s="87"/>
      <c r="G14" s="1"/>
    </row>
    <row r="15" spans="1:7" x14ac:dyDescent="0.25">
      <c r="A15" s="1"/>
      <c r="B15" s="88" t="s">
        <v>114</v>
      </c>
      <c r="C15" s="88"/>
      <c r="D15" s="88"/>
      <c r="E15" s="8">
        <v>18652305.184999999</v>
      </c>
      <c r="F15" s="12" t="s">
        <v>3</v>
      </c>
      <c r="G15" s="1"/>
    </row>
    <row r="16" spans="1:7" x14ac:dyDescent="0.25">
      <c r="A16" s="1"/>
      <c r="B16" s="88" t="s">
        <v>115</v>
      </c>
      <c r="C16" s="88"/>
      <c r="D16" s="88"/>
      <c r="E16" s="8">
        <v>17870746</v>
      </c>
      <c r="F16" s="12" t="s">
        <v>3</v>
      </c>
      <c r="G16" s="1"/>
    </row>
    <row r="17" spans="1:7" x14ac:dyDescent="0.25">
      <c r="A17" s="1"/>
      <c r="B17" s="88" t="s">
        <v>44</v>
      </c>
      <c r="C17" s="88"/>
      <c r="D17" s="88"/>
      <c r="E17" s="8">
        <v>0</v>
      </c>
      <c r="F17" s="12" t="s">
        <v>3</v>
      </c>
      <c r="G17" s="1"/>
    </row>
    <row r="18" spans="1:7" x14ac:dyDescent="0.25">
      <c r="A18" s="1"/>
      <c r="B18" s="89" t="s">
        <v>158</v>
      </c>
      <c r="C18" s="89"/>
      <c r="D18" s="89"/>
      <c r="E18" s="9">
        <f>E15-(E16-E17)</f>
        <v>781559.18499999866</v>
      </c>
      <c r="F18" s="15" t="s">
        <v>3</v>
      </c>
      <c r="G18" s="1"/>
    </row>
    <row r="19" spans="1:7" x14ac:dyDescent="0.25">
      <c r="A19" s="1"/>
      <c r="B19" s="90"/>
      <c r="C19" s="91"/>
      <c r="D19" s="91"/>
      <c r="E19" s="91"/>
      <c r="F19" s="92"/>
      <c r="G19" s="1"/>
    </row>
    <row r="20" spans="1:7" ht="28.5" customHeight="1" x14ac:dyDescent="0.25">
      <c r="A20" s="1"/>
      <c r="B20" s="73" t="s">
        <v>134</v>
      </c>
      <c r="C20" s="73"/>
      <c r="D20" s="73"/>
      <c r="E20" s="73"/>
      <c r="F20" s="73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7" t="s">
        <v>67</v>
      </c>
      <c r="C23" s="87"/>
      <c r="D23" s="87"/>
      <c r="E23" s="87"/>
      <c r="F23" s="87"/>
      <c r="G23" s="1"/>
    </row>
    <row r="24" spans="1:7" x14ac:dyDescent="0.25">
      <c r="A24" s="1"/>
      <c r="B24" s="88" t="s">
        <v>68</v>
      </c>
      <c r="C24" s="88"/>
      <c r="D24" s="88"/>
      <c r="E24" s="8">
        <v>19034089.29980151</v>
      </c>
      <c r="F24" s="12" t="s">
        <v>3</v>
      </c>
      <c r="G24" s="1"/>
    </row>
    <row r="25" spans="1:7" x14ac:dyDescent="0.25">
      <c r="A25" s="1"/>
      <c r="B25" s="88" t="s">
        <v>69</v>
      </c>
      <c r="C25" s="88"/>
      <c r="D25" s="88"/>
      <c r="E25" s="8">
        <v>17766585</v>
      </c>
      <c r="F25" s="12" t="s">
        <v>3</v>
      </c>
      <c r="G25" s="1"/>
    </row>
    <row r="26" spans="1:7" x14ac:dyDescent="0.25">
      <c r="A26" s="1"/>
      <c r="B26" s="88" t="s">
        <v>44</v>
      </c>
      <c r="C26" s="88"/>
      <c r="D26" s="88"/>
      <c r="E26" s="8">
        <v>0</v>
      </c>
      <c r="F26" s="12" t="s">
        <v>3</v>
      </c>
      <c r="G26" s="1"/>
    </row>
    <row r="27" spans="1:7" x14ac:dyDescent="0.25">
      <c r="A27" s="1"/>
      <c r="B27" s="89" t="s">
        <v>158</v>
      </c>
      <c r="C27" s="89"/>
      <c r="D27" s="89"/>
      <c r="E27" s="9">
        <f>E24-(E25-E26)</f>
        <v>1267504.2998015098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7" t="s">
        <v>136</v>
      </c>
      <c r="C31" s="87"/>
      <c r="D31" s="87"/>
      <c r="E31" s="87"/>
      <c r="F31" s="87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-1288677.9081446293</v>
      </c>
      <c r="F32" s="12" t="s">
        <v>3</v>
      </c>
      <c r="G32" s="1"/>
    </row>
    <row r="33" spans="1:7" x14ac:dyDescent="0.25">
      <c r="A33" s="1"/>
      <c r="B33" s="72" t="s">
        <v>156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145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9" t="s">
        <v>181</v>
      </c>
      <c r="C35" s="89"/>
      <c r="D35" s="89"/>
      <c r="E35" s="9">
        <f>SUM(E32:E33)/E34</f>
        <v>-322169.47703615733</v>
      </c>
      <c r="F35" s="15" t="s">
        <v>3</v>
      </c>
      <c r="G35" s="1"/>
    </row>
    <row r="36" spans="1:7" x14ac:dyDescent="0.25">
      <c r="A36" s="1"/>
      <c r="B36" s="87"/>
      <c r="C36" s="87"/>
      <c r="D36" s="87"/>
      <c r="E36" s="87"/>
      <c r="F36" s="8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eZWKa/E/oiYwb8Lg8j83+F6D2tJGJ65FOg8WNFR2ACmK7uCZZMqMpOZcia4I+vvsUmhGTPfqEAsk5vn6NVSuDA==" saltValue="IpjlWB46FZtLvDehG44yA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182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7" t="s">
        <v>110</v>
      </c>
      <c r="C9" s="87"/>
      <c r="D9" s="87"/>
      <c r="E9" s="87"/>
      <c r="F9" s="87"/>
      <c r="G9" s="1"/>
    </row>
    <row r="10" spans="1:7" x14ac:dyDescent="0.25">
      <c r="A10" s="1"/>
      <c r="B10" s="73" t="s">
        <v>131</v>
      </c>
      <c r="C10" s="73"/>
      <c r="D10" s="73"/>
      <c r="E10" s="7">
        <v>0</v>
      </c>
      <c r="F10" s="41" t="s">
        <v>3</v>
      </c>
      <c r="G10" s="1"/>
    </row>
    <row r="11" spans="1:7" x14ac:dyDescent="0.25">
      <c r="A11" s="1"/>
      <c r="B11" s="88" t="s">
        <v>132</v>
      </c>
      <c r="C11" s="88"/>
      <c r="D11" s="88"/>
      <c r="E11" s="7">
        <v>0</v>
      </c>
      <c r="F11" s="41" t="s">
        <v>3</v>
      </c>
      <c r="G11" s="1"/>
    </row>
    <row r="12" spans="1:7" x14ac:dyDescent="0.25">
      <c r="A12" s="1"/>
      <c r="B12" s="89" t="s">
        <v>133</v>
      </c>
      <c r="C12" s="89"/>
      <c r="D12" s="89"/>
      <c r="E12" s="9">
        <f>E11-E10</f>
        <v>0</v>
      </c>
      <c r="F12" s="36" t="s">
        <v>3</v>
      </c>
      <c r="G12" s="1"/>
    </row>
    <row r="13" spans="1:7" x14ac:dyDescent="0.25">
      <c r="A13" s="1"/>
      <c r="B13" s="87" t="s">
        <v>111</v>
      </c>
      <c r="C13" s="87"/>
      <c r="D13" s="87"/>
      <c r="E13" s="87"/>
      <c r="F13" s="87"/>
      <c r="G13" s="1"/>
    </row>
    <row r="14" spans="1:7" x14ac:dyDescent="0.25">
      <c r="A14" s="1"/>
      <c r="B14" s="88" t="s">
        <v>154</v>
      </c>
      <c r="C14" s="88"/>
      <c r="D14" s="88"/>
      <c r="E14" s="8">
        <v>0</v>
      </c>
      <c r="F14" s="41" t="s">
        <v>3</v>
      </c>
      <c r="G14" s="1"/>
    </row>
    <row r="15" spans="1:7" x14ac:dyDescent="0.25">
      <c r="A15" s="1"/>
      <c r="B15" s="88" t="s">
        <v>155</v>
      </c>
      <c r="C15" s="88"/>
      <c r="D15" s="88"/>
      <c r="E15" s="8">
        <v>0</v>
      </c>
      <c r="F15" s="41" t="s">
        <v>3</v>
      </c>
      <c r="G15" s="1"/>
    </row>
    <row r="16" spans="1:7" x14ac:dyDescent="0.25">
      <c r="A16" s="1"/>
      <c r="B16" s="89" t="s">
        <v>133</v>
      </c>
      <c r="C16" s="89"/>
      <c r="D16" s="89"/>
      <c r="E16" s="9">
        <f>E15-E14</f>
        <v>0</v>
      </c>
      <c r="F16" s="36" t="s">
        <v>3</v>
      </c>
      <c r="G16" s="1"/>
    </row>
    <row r="17" spans="1:7" ht="15" customHeight="1" x14ac:dyDescent="0.25">
      <c r="A17" s="1"/>
      <c r="B17" s="87" t="s">
        <v>106</v>
      </c>
      <c r="C17" s="87"/>
      <c r="D17" s="87"/>
      <c r="E17" s="87"/>
      <c r="F17" s="87"/>
      <c r="G17" s="1"/>
    </row>
    <row r="18" spans="1:7" ht="28.15" customHeight="1" x14ac:dyDescent="0.25">
      <c r="A18" s="1"/>
      <c r="B18" s="80" t="s">
        <v>190</v>
      </c>
      <c r="C18" s="81"/>
      <c r="D18" s="82"/>
      <c r="E18" s="8">
        <v>0</v>
      </c>
      <c r="F18" s="41" t="s">
        <v>3</v>
      </c>
      <c r="G18" s="1"/>
    </row>
    <row r="19" spans="1:7" ht="28.5" customHeight="1" x14ac:dyDescent="0.25">
      <c r="A19" s="1"/>
      <c r="B19" s="74" t="s">
        <v>112</v>
      </c>
      <c r="C19" s="74"/>
      <c r="D19" s="74"/>
      <c r="E19" s="9">
        <f>IF('Fane 3. Omkostninger i ØR2019'!E23-'Fane 3. Omkostninger i ØR2019'!E23/(1+'Fane 13. Nøgletal'!C11)^2+E18&lt;0,-('Fane 3. Omkostninger i ØR2019'!E23-'Fane 3. Omkostninger i ØR2019'!E23/(1+'Fane 13. Nøgletal'!C11)^2+E18),0)</f>
        <v>0</v>
      </c>
      <c r="F19" s="36" t="s">
        <v>3</v>
      </c>
      <c r="G19" s="1"/>
    </row>
    <row r="20" spans="1:7" x14ac:dyDescent="0.25">
      <c r="A20" s="1"/>
      <c r="B20" s="39" t="s">
        <v>123</v>
      </c>
      <c r="C20" s="39"/>
      <c r="D20" s="39"/>
      <c r="E20" s="10">
        <f>E12+E16+E19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gNFHdPMI7OIS8LKQrg3FdB+CjCh0hALjn2qdyZugKGvI0fG+BHVJRjFuvdb/JwrJamGsyEWr+Dodz+PIQvEow==" saltValue="vQ4c45oGcK7tjSjNn/Zb9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Periodevise driftsomk.</vt:lpstr>
      <vt:lpstr>Fane 10. Tilknyttet aktivitet</vt:lpstr>
      <vt:lpstr>Fane 11. Bortfald</vt:lpstr>
      <vt:lpstr>Fane 12. Hist. over-underdæk.</vt:lpstr>
      <vt:lpstr>Fane 13.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2019-09-04T18:18:39Z</dcterms:modified>
</cp:coreProperties>
</file>