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langerup Vandværk A.m.b.A. (V14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<sst xmlns="http://schemas.openxmlformats.org/spreadsheetml/2006/main" count="424" uniqueCount="164">
  <si>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</si>
  <si>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</si>
  <si>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</si>
  <si>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</si>
  <si>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</si>
  <si>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</si>
  <si>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</si>
  <si>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</si>
  <si>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</si>
  <si>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</si>
  <si>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</si>
  <si>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</si>
  <si>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</si>
  <si>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</si>
  <si>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</si>
  <si>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</si>
  <si>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</si>
  <si>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</si>
  <si>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</si>
  <si>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</si>
  <si>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</si>
  <si>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</si>
  <si>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</si>
  <si>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</si>
  <si>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</si>
  <si>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</si>
  <si>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</si>
  <si>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</si>
  <si>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</si>
  <si>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</si>
  <si>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</si>
  <si>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</si>
  <si>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</si>
  <si>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</si>
  <si>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</si>
  <si>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</si>
  <si>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</si>
  <si>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</si>
  <si>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</si>
  <si>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</si>
  <si>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</si>
  <si>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</si>
  <si>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</si>
  <si>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</si>
  <si>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</si>
  <si>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</si>
  <si>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</si>
  <si>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</si>
  <si>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</si>
  <si>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</si>
  <si>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</si>
  <si>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</si>
  <si>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</si>
  <si>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</si>
  <si>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</si>
  <si>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</si>
  <si>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</si>
  <si>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</si>
  <si>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</si>
  <si>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</si>
  <si>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</si>
  <si>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</si>
  <si>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</si>
  <si>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</si>
  <si>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</si>
  <si>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</si>
  <si>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</si>
  <si>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</si>
  <si>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</si>
  <si>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</si>
  <si>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</si>
  <si>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</si>
  <si>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</si>
  <si>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</si>
  <si>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</si>
  <si>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</si>
  <si>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</si>
  <si>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</si>
  <si>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</si>
  <si>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</si>
  <si>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</si>
  <si>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</si>
  <si>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</si>
  <si>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</si>
  <si>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</si>
  <si>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</si>
  <si>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</si>
  <si>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</si>
  <si>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</si>
  <si>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</si>
  <si>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</si>
  <si>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</si>
  <si>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</si>
  <si>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</si>
  <si>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</si>
  <si>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</si>
  <si>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</si>
  <si>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</si>
  <si>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</si>
  <si>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</si>
  <si>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</si>
  <si>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</si>
  <si>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</si>
  <si>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</si>
  <si>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</si>
  <si>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</si>
  <si>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</si>
  <si>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</si>
  <si>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</si>
  <si>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</si>
  <si>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</si>
  <si>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</si>
  <si>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</si>
  <si>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</si>
  <si>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</si>
  <si>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</si>
  <si>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</si>
  <si>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</si>
  <si>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</si>
  <si>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</si>
  <si>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</si>
  <si>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</si>
  <si>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</si>
  <si>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</si>
  <si>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</si>
  <si>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</si>
  <si>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</si>
  <si>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</si>
  <si>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</si>
  <si>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</si>
  <si>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</si>
  <si>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</si>
  <si>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</si>
  <si>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</si>
  <si>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</si>
  <si>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</si>
  <si>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</si>
  <si>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</si>
  <si>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</si>
  <si>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</si>
  <si>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</si>
  <si>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</si>
  <si>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</si>
  <si>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</si>
  <si>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</si>
  <si>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</si>
  <si>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</si>
  <si>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</si>
  <si>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</si>
  <si>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</si>
  <si>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</si>
  <si>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</si>
  <si>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</si>
  <si>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</si>
  <si>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</si>
  <si>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</si>
  <si>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</si>
  <si>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</si>
  <si>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</si>
  <si>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</si>
  <si>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Køb af ydelser og produkter fra andre vandselskaber reguleret af vandsektorloven</t>
  </si>
  <si>
    <t>Erstatninger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</si>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</sst>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2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25">
      <c r="A8" s="1"/>
      <c r="B8" s="1"/>
      <c r="C8" s="4"/>
      <c r="D8" s="66" t="s">
        <v>116</v>
      </c>
      <c r="E8" s="66"/>
      <c r="F8" s="66"/>
      <c r="G8" s="6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1" t="s">
        <v>49</v>
      </c>
      <c r="E13" s="62"/>
      <c r="F13" s="62"/>
      <c r="G13" s="63"/>
      <c r="H13" s="1"/>
      <c r="I13" s="1"/>
    </row>
    <row r="14" spans="1:9" x14ac:dyDescent="0.25">
      <c r="A14" s="1"/>
      <c r="B14" s="1"/>
      <c r="C14" s="6" t="s">
        <v>22</v>
      </c>
      <c r="D14" s="61" t="s">
        <v>117</v>
      </c>
      <c r="E14" s="62"/>
      <c r="F14" s="62"/>
      <c r="G14" s="63"/>
      <c r="H14" s="1"/>
      <c r="I14" s="1"/>
    </row>
    <row r="15" spans="1:9" x14ac:dyDescent="0.25">
      <c r="A15" s="1"/>
      <c r="B15" s="1"/>
      <c r="C15" s="6" t="s">
        <v>48</v>
      </c>
      <c r="D15" s="61" t="s">
        <v>75</v>
      </c>
      <c r="E15" s="62"/>
      <c r="F15" s="62"/>
      <c r="G15" s="63"/>
      <c r="H15" s="1"/>
      <c r="I15" s="1"/>
    </row>
    <row r="16" spans="1:9" x14ac:dyDescent="0.25">
      <c r="A16" s="1"/>
      <c r="B16" s="1"/>
      <c r="C16" s="6" t="s">
        <v>50</v>
      </c>
      <c r="D16" s="61" t="s">
        <v>76</v>
      </c>
      <c r="E16" s="62"/>
      <c r="F16" s="62"/>
      <c r="G16" s="63"/>
      <c r="H16" s="1"/>
      <c r="I16" s="1"/>
    </row>
    <row r="17" spans="1:9" x14ac:dyDescent="0.25">
      <c r="A17" s="1"/>
      <c r="B17" s="1"/>
      <c r="C17" s="6" t="s">
        <v>139</v>
      </c>
      <c r="D17" s="61" t="s">
        <v>57</v>
      </c>
      <c r="E17" s="62"/>
      <c r="F17" s="62"/>
      <c r="G17" s="63"/>
      <c r="H17" s="1"/>
      <c r="I17" s="1"/>
    </row>
    <row r="18" spans="1:9" x14ac:dyDescent="0.25">
      <c r="A18" s="1"/>
      <c r="B18" s="1"/>
      <c r="C18" s="6" t="s">
        <v>7</v>
      </c>
      <c r="D18" s="55" t="s">
        <v>16</v>
      </c>
      <c r="E18" s="56"/>
      <c r="F18" s="56"/>
      <c r="G18" s="57"/>
      <c r="H18" s="1"/>
      <c r="I18" s="1"/>
    </row>
    <row r="19" spans="1:9" x14ac:dyDescent="0.25">
      <c r="A19" s="1"/>
      <c r="B19" s="1"/>
      <c r="C19" s="6" t="s">
        <v>8</v>
      </c>
      <c r="D19" s="49" t="s">
        <v>97</v>
      </c>
      <c r="E19" s="50"/>
      <c r="F19" s="50"/>
      <c r="G19" s="51"/>
      <c r="H19" s="1"/>
      <c r="I19" s="1"/>
    </row>
    <row r="20" spans="1:9" x14ac:dyDescent="0.25">
      <c r="A20" s="1"/>
      <c r="B20" s="1"/>
      <c r="C20" s="6" t="s">
        <v>123</v>
      </c>
      <c r="D20" s="49" t="s">
        <v>147</v>
      </c>
      <c r="E20" s="50"/>
      <c r="F20" s="50"/>
      <c r="G20" s="51"/>
      <c r="H20" s="1"/>
      <c r="I20" s="1"/>
    </row>
    <row r="21" spans="1:9" x14ac:dyDescent="0.25">
      <c r="A21" s="1"/>
      <c r="B21" s="1"/>
      <c r="C21" s="6" t="s">
        <v>82</v>
      </c>
      <c r="D21" s="49" t="s">
        <v>51</v>
      </c>
      <c r="E21" s="50"/>
      <c r="F21" s="50"/>
      <c r="G21" s="51"/>
      <c r="H21" s="1"/>
      <c r="I21" s="1"/>
    </row>
    <row r="22" spans="1:9" x14ac:dyDescent="0.25">
      <c r="A22" s="1"/>
      <c r="B22" s="1"/>
      <c r="C22" s="6" t="s">
        <v>124</v>
      </c>
      <c r="D22" s="49" t="s">
        <v>83</v>
      </c>
      <c r="E22" s="50"/>
      <c r="F22" s="50"/>
      <c r="G22" s="51"/>
      <c r="H22" s="1"/>
      <c r="I22" s="1"/>
    </row>
    <row r="23" spans="1:9" x14ac:dyDescent="0.25">
      <c r="A23" s="1"/>
      <c r="B23" s="1"/>
      <c r="C23" s="6" t="s">
        <v>125</v>
      </c>
      <c r="D23" s="49" t="s">
        <v>84</v>
      </c>
      <c r="E23" s="50"/>
      <c r="F23" s="50"/>
      <c r="G23" s="51"/>
      <c r="H23" s="1"/>
      <c r="I23" s="1"/>
    </row>
    <row r="24" spans="1:9" x14ac:dyDescent="0.25">
      <c r="A24" s="1"/>
      <c r="B24" s="1"/>
      <c r="C24" s="6" t="s">
        <v>9</v>
      </c>
      <c r="D24" s="49" t="s">
        <v>52</v>
      </c>
      <c r="E24" s="50"/>
      <c r="F24" s="50"/>
      <c r="G24" s="51"/>
      <c r="H24" s="1"/>
      <c r="I24" s="1"/>
    </row>
    <row r="25" spans="1:9" x14ac:dyDescent="0.25">
      <c r="A25" s="1"/>
      <c r="B25" s="1"/>
      <c r="C25" s="6" t="s">
        <v>96</v>
      </c>
      <c r="D25" s="49" t="s">
        <v>53</v>
      </c>
      <c r="E25" s="50"/>
      <c r="F25" s="50"/>
      <c r="G25" s="51"/>
      <c r="H25" s="1"/>
      <c r="I25" s="1"/>
    </row>
    <row r="26" spans="1:9" x14ac:dyDescent="0.25">
      <c r="A26" s="1"/>
      <c r="B26" s="1"/>
      <c r="C26" s="6" t="s">
        <v>126</v>
      </c>
      <c r="D26" s="58" t="s">
        <v>10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</v>
      </c>
      <c r="D27" s="52" t="s">
        <v>127</v>
      </c>
      <c r="E27" s="53"/>
      <c r="F27" s="53"/>
      <c r="G27" s="54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+6cM8FUGn+GMemby0qrL58dTsEU35mBeTq0H46lnZkBWCI+JVtYM9QcWQ3bvtxaBmh097yhpEm1pV2YaXJE2HA==" saltValue="MFc6inZ9pSl85hDtOio8lg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151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152</v>
      </c>
      <c r="C8" s="79"/>
      <c r="D8" s="79"/>
      <c r="E8" s="79"/>
      <c r="F8" s="79"/>
      <c r="G8" s="79"/>
      <c r="H8" s="80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7" t="s">
        <v>2</v>
      </c>
      <c r="F9" s="37" t="s">
        <v>15</v>
      </c>
      <c r="G9" s="37" t="s">
        <v>41</v>
      </c>
      <c r="H9" s="46"/>
      <c r="I9" s="1"/>
    </row>
    <row r="10" spans="1:9" x14ac:dyDescent="0.25">
      <c r="A10" s="1"/>
      <c r="B10" s="35" t="s">
        <v>156</v>
      </c>
      <c r="C10" s="36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8" t="s">
        <v>153</v>
      </c>
      <c r="C11" s="79"/>
      <c r="D11" s="8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OpwGWKSixO8qfhcV0dr8DdGuU40m5gRGe72qYRZAq6ubH5y5seW+jdrxNtkVQTzwv3VPOzw8T2ej3KydpTFH3Q==" saltValue="jlCMEF3ZPppAMH8mRyjl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120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79</v>
      </c>
      <c r="C8" s="24"/>
      <c r="D8" s="24"/>
      <c r="E8" s="24"/>
      <c r="F8" s="48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7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EqG5tWraSCw/iUccBpBHhRwbQfjyHt4W49dKRaKA/7csOAP+JTZ90Ys1ae6xWJnUBvMQd4BnOSHogMMrTFGcQA==" saltValue="okK3OyJL5iP6RfWoXGb4A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121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102</v>
      </c>
      <c r="C8" s="79"/>
      <c r="D8" s="79"/>
      <c r="E8" s="79"/>
      <c r="F8" s="80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162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7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8" t="s">
        <v>103</v>
      </c>
      <c r="C15" s="79"/>
      <c r="D15" s="79"/>
      <c r="E15" s="79"/>
      <c r="F15" s="80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6"/>
      <c r="G16" s="1"/>
    </row>
    <row r="17" spans="1:7" x14ac:dyDescent="0.25">
      <c r="A17" s="1"/>
      <c r="B17" s="22" t="s">
        <v>162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7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8" t="s">
        <v>104</v>
      </c>
      <c r="C22" s="79"/>
      <c r="D22" s="79"/>
      <c r="E22" s="79"/>
      <c r="F22" s="80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6"/>
      <c r="G23" s="1"/>
    </row>
    <row r="24" spans="1:7" x14ac:dyDescent="0.25">
      <c r="A24" s="1"/>
      <c r="B24" s="22" t="s">
        <v>162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7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8" t="s">
        <v>105</v>
      </c>
      <c r="C29" s="79"/>
      <c r="D29" s="79"/>
      <c r="E29" s="79"/>
      <c r="F29" s="80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6"/>
      <c r="G30" s="1"/>
    </row>
    <row r="31" spans="1:7" x14ac:dyDescent="0.25">
      <c r="A31" s="1"/>
      <c r="B31" s="22" t="s">
        <v>162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7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ntHfLJMBMu6+F2odhBdAoOyj48ADBPupr6K/DHQqvVTMZIXPYXuKozndqgVcQZ0f3LoCt3GCXKjlmB/QiwvktA==" saltValue="w+Ofp+sx8DkVw6HQ9Xrou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134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32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33</v>
      </c>
      <c r="C9" s="90" t="s">
        <v>15</v>
      </c>
      <c r="D9" s="91"/>
      <c r="E9" s="90" t="s">
        <v>42</v>
      </c>
      <c r="F9" s="91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mr2g6QoXlfPm6JOsQU1aY+gwEWcqY0WZRPG+CXiQ0DynIWuB9AjFGM5ccMDXtPFE9GYEyVe7tvx1w/Ac8ptSxA==" saltValue="HqPUQYL2hSi6OZh0OJBKY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135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91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25</v>
      </c>
      <c r="C9" s="45" t="s">
        <v>15</v>
      </c>
      <c r="D9" s="46"/>
      <c r="E9" s="45" t="s">
        <v>42</v>
      </c>
      <c r="F9" s="46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92</v>
      </c>
      <c r="C14" s="79"/>
      <c r="D14" s="79"/>
      <c r="E14" s="79"/>
      <c r="F14" s="80"/>
      <c r="G14" s="1"/>
    </row>
    <row r="15" spans="1:7" ht="26.25" x14ac:dyDescent="0.25">
      <c r="A15" s="1"/>
      <c r="B15" s="45" t="s">
        <v>25</v>
      </c>
      <c r="C15" s="45" t="s">
        <v>15</v>
      </c>
      <c r="D15" s="46"/>
      <c r="E15" s="45" t="s">
        <v>42</v>
      </c>
      <c r="F15" s="46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8" t="s">
        <v>90</v>
      </c>
      <c r="C20" s="79"/>
      <c r="D20" s="79"/>
      <c r="E20" s="79"/>
      <c r="F20" s="80"/>
      <c r="G20" s="1"/>
    </row>
    <row r="21" spans="1:7" ht="26.25" x14ac:dyDescent="0.25">
      <c r="A21" s="1"/>
      <c r="B21" s="45" t="s">
        <v>25</v>
      </c>
      <c r="C21" s="45" t="s">
        <v>15</v>
      </c>
      <c r="D21" s="46"/>
      <c r="E21" s="45" t="s">
        <v>42</v>
      </c>
      <c r="F21" s="46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8" t="s">
        <v>93</v>
      </c>
      <c r="C26" s="79"/>
      <c r="D26" s="79"/>
      <c r="E26" s="79"/>
      <c r="F26" s="80"/>
      <c r="G26" s="1"/>
    </row>
    <row r="27" spans="1:7" ht="26.25" x14ac:dyDescent="0.25">
      <c r="A27" s="1"/>
      <c r="B27" s="45" t="s">
        <v>25</v>
      </c>
      <c r="C27" s="45" t="s">
        <v>15</v>
      </c>
      <c r="D27" s="46"/>
      <c r="E27" s="45" t="s">
        <v>42</v>
      </c>
      <c r="F27" s="46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BrIKog1lvcK3MxKDRXnHzngKTCKzip04J1opGwRRPyjHS3xk0mx8qQ+005R8IQ1C/NkOfRFOL++VcwK+PGQI/w==" saltValue="AG6TnQ3raRD1NDee4qzxc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17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92" t="s">
        <v>11</v>
      </c>
      <c r="C9" s="93"/>
      <c r="D9" s="93"/>
      <c r="E9" s="93"/>
      <c r="F9" s="94"/>
      <c r="G9" s="8">
        <v>18400901</v>
      </c>
      <c r="H9" s="12" t="s">
        <v>3</v>
      </c>
      <c r="I9" s="1"/>
    </row>
    <row r="10" spans="1:9" x14ac:dyDescent="0.25">
      <c r="A10" s="1"/>
      <c r="B10" s="92" t="s">
        <v>77</v>
      </c>
      <c r="C10" s="93"/>
      <c r="D10" s="93"/>
      <c r="E10" s="93"/>
      <c r="F10" s="94"/>
      <c r="G10" s="8">
        <v>0</v>
      </c>
      <c r="H10" s="12" t="s">
        <v>3</v>
      </c>
      <c r="I10" s="1"/>
    </row>
    <row r="11" spans="1:9" x14ac:dyDescent="0.25">
      <c r="A11" s="1"/>
      <c r="B11" s="92" t="s">
        <v>69</v>
      </c>
      <c r="C11" s="93"/>
      <c r="D11" s="93"/>
      <c r="E11" s="93"/>
      <c r="F11" s="94"/>
      <c r="G11" s="8">
        <v>-16568998.756613756</v>
      </c>
      <c r="H11" s="12" t="s">
        <v>3</v>
      </c>
      <c r="I11" s="1"/>
    </row>
    <row r="12" spans="1:9" x14ac:dyDescent="0.25">
      <c r="A12" s="1"/>
      <c r="B12" s="95" t="s">
        <v>14</v>
      </c>
      <c r="C12" s="96"/>
      <c r="D12" s="96"/>
      <c r="E12" s="96"/>
      <c r="F12" s="97"/>
      <c r="G12" s="17">
        <f>(G9+G10)+G11</f>
        <v>1831902.2433862444</v>
      </c>
      <c r="H12" s="16" t="s">
        <v>3</v>
      </c>
      <c r="I12" s="1"/>
    </row>
    <row r="13" spans="1:9" x14ac:dyDescent="0.25">
      <c r="A13" s="1"/>
      <c r="B13" s="92" t="s">
        <v>12</v>
      </c>
      <c r="C13" s="93"/>
      <c r="D13" s="93"/>
      <c r="E13" s="93"/>
      <c r="F13" s="94"/>
      <c r="G13" s="8">
        <v>1</v>
      </c>
      <c r="H13" s="12" t="s">
        <v>27</v>
      </c>
      <c r="I13" s="1"/>
    </row>
    <row r="14" spans="1:9" x14ac:dyDescent="0.25">
      <c r="A14" s="1"/>
      <c r="B14" s="78" t="s">
        <v>78</v>
      </c>
      <c r="C14" s="79"/>
      <c r="D14" s="79"/>
      <c r="E14" s="79"/>
      <c r="F14" s="80"/>
      <c r="G14" s="10">
        <f>IF(G13 = 0,0,-G12/G13)</f>
        <v>-1831902.2433862444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TwwaEDPkKRixA4H9JDwWFqnwlcqka9T4xyZBWkfSm9fCld9HvrZL83drIu4h19dmgaymFSeX7dNcdKng1aIgmw==" saltValue="YK75OxhcI3THb7zgK7d0k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2" t="s">
        <v>137</v>
      </c>
      <c r="C3" s="72"/>
      <c r="D3" s="1"/>
    </row>
    <row r="4" spans="1:4" ht="25.5" customHeight="1" x14ac:dyDescent="0.25">
      <c r="A4" s="1"/>
      <c r="B4" s="72"/>
      <c r="C4" s="7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20</v>
      </c>
      <c r="C8" s="48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7"/>
      <c r="C13" s="4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7" t="s">
        <v>115</v>
      </c>
      <c r="C16" s="48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8"/>
      <c r="C18" s="99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PCBuUV7safAmH9JRc1gj+dRV+9F5ohYw+srazoQ0xM9IjLvubVX0oFjt9NaJYrDwpVjT+F9TcWxxxMRTQ3EvbQ==" saltValue="EHU24t2v9nJJdRTsIF985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x14ac:dyDescent="0.25">
      <c r="A9" s="1"/>
      <c r="B9" s="39" t="s">
        <v>35</v>
      </c>
      <c r="C9" s="39"/>
      <c r="D9" s="39"/>
      <c r="E9" s="7">
        <f>'Fane 3. Omkostninger i ØR2019'!E15</f>
        <v>4481061.3227948397</v>
      </c>
      <c r="F9" s="39" t="s">
        <v>3</v>
      </c>
      <c r="G9" s="1"/>
    </row>
    <row r="10" spans="1:7" x14ac:dyDescent="0.25">
      <c r="A10" s="1"/>
      <c r="B10" s="41" t="s">
        <v>140</v>
      </c>
      <c r="C10" s="39"/>
      <c r="D10" s="39"/>
      <c r="E10" s="7">
        <f>'Fane 3. Omkostninger i ØR2019'!E10*(1-'Fane 12. Nøgletal'!C17)*(1+'Fane 12. Nøgletal'!C10)</f>
        <v>0</v>
      </c>
      <c r="F10" s="39" t="s">
        <v>3</v>
      </c>
      <c r="G10" s="1"/>
    </row>
    <row r="11" spans="1:7" x14ac:dyDescent="0.25">
      <c r="A11" s="1"/>
      <c r="B11" s="41" t="s">
        <v>143</v>
      </c>
      <c r="C11" s="39"/>
      <c r="D11" s="39"/>
      <c r="E11" s="7">
        <f>('Fane 3. Omkostninger i ØR2019'!E11+'Fane 3. Omkostninger i ØR2019'!E12)*(1-'Fane 12. Nøgletal'!C17)*(1+'Fane 12. Nøgletal'!C11)</f>
        <v>0</v>
      </c>
      <c r="F11" s="39" t="s">
        <v>3</v>
      </c>
      <c r="G11" s="1"/>
    </row>
    <row r="12" spans="1:7" ht="17.100000000000001" customHeight="1" x14ac:dyDescent="0.25">
      <c r="A12" s="1"/>
      <c r="B12" s="31" t="s">
        <v>141</v>
      </c>
      <c r="C12" s="39"/>
      <c r="D12" s="39"/>
      <c r="E12" s="7">
        <f>'Fane 8.1. Varige tillæg'!C12+'Fane 8.1. Varige tillæg'!E12</f>
        <v>0</v>
      </c>
      <c r="F12" s="39" t="s">
        <v>3</v>
      </c>
      <c r="G12" s="1"/>
    </row>
    <row r="13" spans="1:7" ht="17.100000000000001" customHeight="1" x14ac:dyDescent="0.25">
      <c r="A13" s="1"/>
      <c r="B13" s="31" t="s">
        <v>144</v>
      </c>
      <c r="C13" s="39"/>
      <c r="D13" s="39"/>
      <c r="E13" s="8">
        <f>-('Fane 10. Bortfald'!C12+'Fane 10. Bortfald'!E12)</f>
        <v>0</v>
      </c>
      <c r="F13" s="39" t="s">
        <v>3</v>
      </c>
      <c r="G13" s="1"/>
    </row>
    <row r="14" spans="1:7" ht="17.100000000000001" customHeight="1" x14ac:dyDescent="0.25">
      <c r="A14" s="1"/>
      <c r="B14" s="31" t="s">
        <v>111</v>
      </c>
      <c r="C14" s="39"/>
      <c r="D14" s="39"/>
      <c r="E14" s="8">
        <f>'Fane 9. Tilknyttet aktivitet'!C12+'Fane 9. Tilknyttet aktivitet'!E12</f>
        <v>0</v>
      </c>
      <c r="F14" s="39" t="s">
        <v>3</v>
      </c>
      <c r="G14" s="1"/>
    </row>
    <row r="15" spans="1:7" ht="17.100000000000001" customHeight="1" x14ac:dyDescent="0.25">
      <c r="A15" s="1"/>
      <c r="B15" s="31" t="s">
        <v>26</v>
      </c>
      <c r="C15" s="39"/>
      <c r="D15" s="39"/>
      <c r="E15" s="8">
        <f>(E9-SUM(E10:E11))*'Fane 12. Nøgletal'!C9+E10*'Fane 12. Nøgletal'!C10+E11*'Fane 12. Nøgletal'!C11+SUM(E12:E14)*'Fane 12. Nøgletal'!C12</f>
        <v>56909.478799494464</v>
      </c>
      <c r="F15" s="39" t="s">
        <v>3</v>
      </c>
      <c r="G15" s="1"/>
    </row>
    <row r="16" spans="1:7" ht="17.100000000000001" customHeight="1" x14ac:dyDescent="0.25">
      <c r="A16" s="1"/>
      <c r="B16" s="31" t="s">
        <v>115</v>
      </c>
      <c r="C16" s="39"/>
      <c r="D16" s="39"/>
      <c r="E16" s="8">
        <f>-SUM(E9,E12:E15)*'Fane 12. Nøgletal'!C17</f>
        <v>-77145.503627103695</v>
      </c>
      <c r="F16" s="39" t="s">
        <v>3</v>
      </c>
      <c r="G16" s="1"/>
    </row>
    <row r="17" spans="1:7" ht="17.100000000000001" customHeight="1" x14ac:dyDescent="0.25">
      <c r="A17" s="1"/>
      <c r="B17" s="44" t="s">
        <v>28</v>
      </c>
      <c r="C17" s="42"/>
      <c r="D17" s="42"/>
      <c r="E17" s="9">
        <f>SUM(E9,E12:E16)</f>
        <v>4460825.2979672309</v>
      </c>
      <c r="F17" s="37" t="s">
        <v>3</v>
      </c>
      <c r="G17" s="1"/>
    </row>
    <row r="18" spans="1:7" ht="15" customHeight="1" x14ac:dyDescent="0.25">
      <c r="A18" s="1"/>
      <c r="B18" s="43" t="s">
        <v>16</v>
      </c>
      <c r="C18" s="43"/>
      <c r="D18" s="43"/>
      <c r="E18" s="43"/>
      <c r="F18" s="43"/>
      <c r="G18" s="1"/>
    </row>
    <row r="19" spans="1:7" ht="15" customHeight="1" x14ac:dyDescent="0.25">
      <c r="A19" s="1"/>
      <c r="B19" s="37" t="s">
        <v>16</v>
      </c>
      <c r="C19" s="37"/>
      <c r="D19" s="37"/>
      <c r="E19" s="9">
        <f>'Fane 4. Ikke-påvirkelige omk.'!C15</f>
        <v>2198720.2982926499</v>
      </c>
      <c r="F19" s="37" t="s">
        <v>3</v>
      </c>
      <c r="G19" s="1"/>
    </row>
    <row r="20" spans="1:7" ht="15" customHeight="1" x14ac:dyDescent="0.25">
      <c r="A20" s="1"/>
      <c r="B20" s="43" t="s">
        <v>84</v>
      </c>
      <c r="C20" s="43"/>
      <c r="D20" s="43"/>
      <c r="E20" s="43"/>
      <c r="F20" s="43"/>
      <c r="G20" s="1"/>
    </row>
    <row r="21" spans="1:7" ht="15" customHeight="1" x14ac:dyDescent="0.25">
      <c r="A21" s="1"/>
      <c r="B21" s="31" t="s">
        <v>80</v>
      </c>
      <c r="C21" s="39"/>
      <c r="D21" s="39"/>
      <c r="E21" s="8">
        <f>'Fane 8.2. Engangstillæg'!C13</f>
        <v>0</v>
      </c>
      <c r="F21" s="39" t="s">
        <v>3</v>
      </c>
      <c r="G21" s="1"/>
    </row>
    <row r="22" spans="1:7" ht="15" customHeight="1" x14ac:dyDescent="0.25">
      <c r="A22" s="1"/>
      <c r="B22" s="31" t="s">
        <v>81</v>
      </c>
      <c r="C22" s="39"/>
      <c r="D22" s="39"/>
      <c r="E22" s="8">
        <f>'Fane 8.2. Engangstillæg'!E13</f>
        <v>0</v>
      </c>
      <c r="F22" s="39" t="s">
        <v>3</v>
      </c>
      <c r="G22" s="1"/>
    </row>
    <row r="23" spans="1:7" x14ac:dyDescent="0.25">
      <c r="A23" s="1"/>
      <c r="B23" s="44" t="s">
        <v>85</v>
      </c>
      <c r="C23" s="42"/>
      <c r="D23" s="42"/>
      <c r="E23" s="9">
        <f>SUM(E21:E22)</f>
        <v>0</v>
      </c>
      <c r="F23" s="37" t="s">
        <v>3</v>
      </c>
      <c r="G23" s="1"/>
    </row>
    <row r="24" spans="1:7" x14ac:dyDescent="0.25">
      <c r="A24" s="1"/>
      <c r="B24" s="43" t="s">
        <v>10</v>
      </c>
      <c r="C24" s="43"/>
      <c r="D24" s="43"/>
      <c r="E24" s="43"/>
      <c r="F24" s="43"/>
      <c r="G24" s="1"/>
    </row>
    <row r="25" spans="1:7" ht="15" customHeight="1" x14ac:dyDescent="0.25">
      <c r="A25" s="1"/>
      <c r="B25" s="37" t="s">
        <v>18</v>
      </c>
      <c r="C25" s="37"/>
      <c r="D25" s="37"/>
      <c r="E25" s="9">
        <f>'Fane 11. Hist. over-underdæk.'!G14</f>
        <v>-1831902.2433862444</v>
      </c>
      <c r="F25" s="37" t="s">
        <v>3</v>
      </c>
      <c r="G25" s="1"/>
    </row>
    <row r="26" spans="1:7" ht="15" customHeight="1" x14ac:dyDescent="0.25">
      <c r="A26" s="1"/>
      <c r="B26" s="43" t="s">
        <v>147</v>
      </c>
      <c r="C26" s="43"/>
      <c r="D26" s="43"/>
      <c r="E26" s="43"/>
      <c r="F26" s="43"/>
      <c r="G26" s="1"/>
    </row>
    <row r="27" spans="1:7" x14ac:dyDescent="0.25">
      <c r="A27" s="1"/>
      <c r="B27" s="37" t="s">
        <v>148</v>
      </c>
      <c r="C27" s="37"/>
      <c r="D27" s="37"/>
      <c r="E27" s="9">
        <f>'Fane 6. Korrektioner'!E10</f>
        <v>0</v>
      </c>
      <c r="F27" s="37" t="s">
        <v>3</v>
      </c>
      <c r="G27" s="1"/>
    </row>
    <row r="28" spans="1:7" x14ac:dyDescent="0.25">
      <c r="A28" s="1"/>
      <c r="B28" s="43" t="s">
        <v>36</v>
      </c>
      <c r="C28" s="43"/>
      <c r="D28" s="43"/>
      <c r="E28" s="10">
        <f>SUM(E17,E19,E23,E25,E27)</f>
        <v>4827643.3528736364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REH5aYIa5QVax2UDmtT9EiT6vNmGvWc+kgxpGnwVZFDoPiTKg/qE8nEgfrZ5SqJWQ7KHQVV6H+3PS7vj27lIMA==" saltValue="8l00W3E6WZj1jI4tW8fcT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ht="15" customHeight="1" x14ac:dyDescent="0.25">
      <c r="A9" s="1"/>
      <c r="B9" s="39" t="s">
        <v>37</v>
      </c>
      <c r="C9" s="39"/>
      <c r="D9" s="39"/>
      <c r="E9" s="7">
        <f>'Fane 2.1. Økonomisk ramme 2020'!E17</f>
        <v>4460825.2979672309</v>
      </c>
      <c r="F9" s="39" t="s">
        <v>3</v>
      </c>
      <c r="G9" s="1"/>
    </row>
    <row r="10" spans="1:7" ht="15" customHeight="1" x14ac:dyDescent="0.25">
      <c r="A10" s="1"/>
      <c r="B10" s="39" t="s">
        <v>163</v>
      </c>
      <c r="C10" s="39"/>
      <c r="D10" s="39"/>
      <c r="E10" s="7">
        <v>41010.24713154573</v>
      </c>
      <c r="F10" s="39" t="s">
        <v>3</v>
      </c>
      <c r="G10" s="1"/>
    </row>
    <row r="11" spans="1:7" ht="15" customHeight="1" x14ac:dyDescent="0.25">
      <c r="A11" s="1"/>
      <c r="B11" s="31" t="s">
        <v>144</v>
      </c>
      <c r="C11" s="39"/>
      <c r="D11" s="39"/>
      <c r="E11" s="7">
        <f>-('Fane 10. Bortfald'!C18+'Fane 10. Bortfald'!E18)</f>
        <v>0</v>
      </c>
      <c r="F11" s="39" t="s">
        <v>3</v>
      </c>
      <c r="G11" s="1"/>
    </row>
    <row r="12" spans="1:7" ht="15" customHeight="1" x14ac:dyDescent="0.25">
      <c r="A12" s="1"/>
      <c r="B12" s="40" t="s">
        <v>26</v>
      </c>
      <c r="C12" s="39"/>
      <c r="D12" s="39"/>
      <c r="E12" s="8">
        <f>SUM(E9:E11)*'Fane 12. Nøgletal'!C12</f>
        <v>88686.160238445897</v>
      </c>
      <c r="F12" s="39" t="s">
        <v>3</v>
      </c>
      <c r="G12" s="1"/>
    </row>
    <row r="13" spans="1:7" ht="15" customHeight="1" x14ac:dyDescent="0.25">
      <c r="A13" s="1"/>
      <c r="B13" s="40" t="s">
        <v>115</v>
      </c>
      <c r="C13" s="39"/>
      <c r="D13" s="39"/>
      <c r="E13" s="8">
        <f>-SUM(E9:E12)*'Fane 12. Nøgletal'!C17</f>
        <v>-78038.868990732793</v>
      </c>
      <c r="F13" s="39" t="s">
        <v>3</v>
      </c>
      <c r="G13" s="1"/>
    </row>
    <row r="14" spans="1:7" ht="15" customHeight="1" x14ac:dyDescent="0.25">
      <c r="A14" s="1"/>
      <c r="B14" s="42" t="s">
        <v>28</v>
      </c>
      <c r="C14" s="42"/>
      <c r="D14" s="42"/>
      <c r="E14" s="9">
        <f>SUM(E9:E13)</f>
        <v>4512482.8363464903</v>
      </c>
      <c r="F14" s="37" t="s">
        <v>3</v>
      </c>
      <c r="G14" s="1"/>
    </row>
    <row r="15" spans="1:7" x14ac:dyDescent="0.25">
      <c r="A15" s="1"/>
      <c r="B15" s="43" t="s">
        <v>16</v>
      </c>
      <c r="C15" s="43"/>
      <c r="D15" s="43"/>
      <c r="E15" s="43"/>
      <c r="F15" s="43"/>
      <c r="G15" s="1"/>
    </row>
    <row r="16" spans="1:7" ht="15" customHeight="1" x14ac:dyDescent="0.25">
      <c r="A16" s="1"/>
      <c r="B16" s="37" t="s">
        <v>16</v>
      </c>
      <c r="C16" s="37"/>
      <c r="D16" s="37"/>
      <c r="E16" s="9">
        <f>'Fane 4. Ikke-påvirkelige omk.'!C15*(1+'Fane 12. Nøgletal'!C12)</f>
        <v>2242035.088169015</v>
      </c>
      <c r="F16" s="37" t="s">
        <v>3</v>
      </c>
      <c r="G16" s="1"/>
    </row>
    <row r="17" spans="1:7" ht="15" customHeight="1" x14ac:dyDescent="0.25">
      <c r="A17" s="1"/>
      <c r="B17" s="43" t="s">
        <v>84</v>
      </c>
      <c r="C17" s="43"/>
      <c r="D17" s="43"/>
      <c r="E17" s="43"/>
      <c r="F17" s="43"/>
      <c r="G17" s="1"/>
    </row>
    <row r="18" spans="1:7" ht="15" customHeight="1" x14ac:dyDescent="0.25">
      <c r="A18" s="1"/>
      <c r="B18" s="31" t="s">
        <v>80</v>
      </c>
      <c r="C18" s="39"/>
      <c r="D18" s="39"/>
      <c r="E18" s="8">
        <f>'Fane 8.2. Engangstillæg'!C20</f>
        <v>0</v>
      </c>
      <c r="F18" s="39" t="s">
        <v>3</v>
      </c>
      <c r="G18" s="1"/>
    </row>
    <row r="19" spans="1:7" ht="15" customHeight="1" x14ac:dyDescent="0.25">
      <c r="A19" s="1"/>
      <c r="B19" s="31" t="s">
        <v>81</v>
      </c>
      <c r="C19" s="39"/>
      <c r="D19" s="39"/>
      <c r="E19" s="8">
        <f>'Fane 8.2. Engangstillæg'!E20</f>
        <v>0</v>
      </c>
      <c r="F19" s="39" t="s">
        <v>3</v>
      </c>
      <c r="G19" s="1"/>
    </row>
    <row r="20" spans="1:7" ht="15" customHeight="1" x14ac:dyDescent="0.25">
      <c r="A20" s="1"/>
      <c r="B20" s="44" t="s">
        <v>85</v>
      </c>
      <c r="C20" s="42"/>
      <c r="D20" s="42"/>
      <c r="E20" s="9">
        <f>SUM(E18:E19)</f>
        <v>0</v>
      </c>
      <c r="F20" s="37" t="s">
        <v>3</v>
      </c>
      <c r="G20" s="1"/>
    </row>
    <row r="21" spans="1:7" x14ac:dyDescent="0.25">
      <c r="A21" s="1"/>
      <c r="B21" s="43" t="s">
        <v>95</v>
      </c>
      <c r="C21" s="43"/>
      <c r="D21" s="43"/>
      <c r="E21" s="43"/>
      <c r="F21" s="43"/>
      <c r="G21" s="1"/>
    </row>
    <row r="22" spans="1:7" ht="15" customHeight="1" x14ac:dyDescent="0.25">
      <c r="A22" s="1"/>
      <c r="B22" s="37" t="s">
        <v>131</v>
      </c>
      <c r="C22" s="37"/>
      <c r="D22" s="37"/>
      <c r="E22" s="9">
        <f>'Fane 5. Kontrol af ØR2018'!E35</f>
        <v>-39756.450549319663</v>
      </c>
      <c r="F22" s="37" t="s">
        <v>3</v>
      </c>
      <c r="G22" s="1"/>
    </row>
    <row r="23" spans="1:7" x14ac:dyDescent="0.25">
      <c r="A23" s="1"/>
      <c r="B23" s="43" t="s">
        <v>39</v>
      </c>
      <c r="C23" s="43"/>
      <c r="D23" s="43"/>
      <c r="E23" s="10">
        <f>SUM(E14,E16,E20,E22)</f>
        <v>6714761.4739661859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RLkQoihDo7A9iwPAXWTwvb8/hY/CpWc2rPZyxeZW3As9VS+a66ojXkC/GLDrA6f3wcHR/NNZQHBTtZGTjIH0ZQ==" saltValue="C+Fr5PyeXa7S6e3u3zFO5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37</v>
      </c>
      <c r="C8" s="39"/>
      <c r="D8" s="39"/>
      <c r="E8" s="7">
        <f>'Fane 2.2. Økonomisk ramme 2021'!E14</f>
        <v>4512482.8363464903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Bortfald'!C24+'Fane 10.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SUM(E8:E9)*'Fane 12. Nøgletal'!C12</f>
        <v>88895.911876025857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-78223.438719782775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4523155.3095027329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omk.'!C15*(1+'Fane 12. Nøgletal'!C12)^2</f>
        <v>2286203.1794059449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Engangstillæg'!C27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Engangstillæg'!E27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2.2. Økonomisk ramme 2021'!E22</f>
        <v>-39756.450549319663</v>
      </c>
      <c r="F20" s="37" t="s">
        <v>3</v>
      </c>
      <c r="G20" s="1"/>
    </row>
    <row r="21" spans="1:7" x14ac:dyDescent="0.25">
      <c r="A21" s="1"/>
      <c r="B21" s="43" t="s">
        <v>40</v>
      </c>
      <c r="C21" s="43"/>
      <c r="D21" s="43"/>
      <c r="E21" s="10">
        <f>SUM(E12,E14,E18,E20)</f>
        <v>6769602.0383593589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6wSqQa0Do1v8sR34f0LqXkZOD31f9GPveD29YRWuaVQuZgrUbL8aLDvNtQ3bZ3wM5JEQ2Ox/z6nDOnP13CuLLw==" saltValue="oOlwUN5/uc84uh5OYwlQ/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145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38</v>
      </c>
      <c r="C8" s="39"/>
      <c r="D8" s="39"/>
      <c r="E8" s="7">
        <f>'Fane 2.3. Økonomisk ramme 2022'!E12</f>
        <v>4523155.3095027329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Bortfald'!C30+'Fane 10.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E8*'Fane 12. Nøgletal'!C12</f>
        <v>89106.159597203834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-78408.444974698941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4533853.0241252379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omk.'!C15*(1+'Fane 12. Nøgletal'!C12)^3</f>
        <v>2331241.3820402417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Engangstillæg'!C34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Engangstillæg'!E34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2.3. Økonomisk ramme 2022'!E20</f>
        <v>-39756.450549319663</v>
      </c>
      <c r="F20" s="37" t="s">
        <v>3</v>
      </c>
      <c r="G20" s="1"/>
    </row>
    <row r="21" spans="1:7" x14ac:dyDescent="0.25">
      <c r="A21" s="1"/>
      <c r="B21" s="43" t="s">
        <v>89</v>
      </c>
      <c r="C21" s="43"/>
      <c r="D21" s="43"/>
      <c r="E21" s="10">
        <f>SUM(E12,E14,E18,E20)</f>
        <v>6825337.9556161603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APL6MysfC3myvHhAjh5A4ssNbiOukgeVsb8h0xvLxIvciJhuHOyDPQ42sye4q9XCgI5dsaYKFKzKX6SoSUQEA==" saltValue="yVG5m0ozxfE8npKDZznNG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138</v>
      </c>
      <c r="C3" s="72"/>
      <c r="D3" s="72"/>
      <c r="E3" s="72"/>
      <c r="F3" s="72"/>
      <c r="G3" s="1"/>
    </row>
    <row r="4" spans="1:7" ht="29.2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72</v>
      </c>
      <c r="C8" s="43"/>
      <c r="D8" s="43"/>
      <c r="E8" s="43"/>
      <c r="F8" s="43"/>
      <c r="G8" s="1"/>
    </row>
    <row r="9" spans="1:7" x14ac:dyDescent="0.25">
      <c r="A9" s="1"/>
      <c r="B9" s="73" t="s">
        <v>70</v>
      </c>
      <c r="C9" s="73"/>
      <c r="D9" s="73"/>
      <c r="E9" s="7">
        <v>4501389.1460394394</v>
      </c>
      <c r="F9" s="39" t="s">
        <v>3</v>
      </c>
      <c r="G9" s="1"/>
    </row>
    <row r="10" spans="1:7" x14ac:dyDescent="0.25">
      <c r="A10" s="1"/>
      <c r="B10" s="75" t="s">
        <v>140</v>
      </c>
      <c r="C10" s="75"/>
      <c r="D10" s="75"/>
      <c r="E10" s="7">
        <v>0</v>
      </c>
      <c r="F10" s="39" t="s">
        <v>3</v>
      </c>
      <c r="G10" s="1"/>
    </row>
    <row r="11" spans="1:7" x14ac:dyDescent="0.25">
      <c r="A11" s="1"/>
      <c r="B11" s="74" t="s">
        <v>141</v>
      </c>
      <c r="C11" s="74"/>
      <c r="D11" s="74"/>
      <c r="E11" s="7">
        <v>0</v>
      </c>
      <c r="F11" s="39" t="s">
        <v>3</v>
      </c>
      <c r="G11" s="1"/>
    </row>
    <row r="12" spans="1:7" x14ac:dyDescent="0.25">
      <c r="A12" s="1"/>
      <c r="B12" s="74" t="s">
        <v>142</v>
      </c>
      <c r="C12" s="74"/>
      <c r="D12" s="74"/>
      <c r="E12" s="8">
        <v>0</v>
      </c>
      <c r="F12" s="39" t="s">
        <v>3</v>
      </c>
      <c r="G12" s="1"/>
    </row>
    <row r="13" spans="1:7" x14ac:dyDescent="0.25">
      <c r="A13" s="1"/>
      <c r="B13" s="74" t="s">
        <v>26</v>
      </c>
      <c r="C13" s="74"/>
      <c r="D13" s="74"/>
      <c r="E13" s="8">
        <f>(SUM(E9:E9)-SUM(E10:E10))*'Fane 12. Nøgletal'!C9+SUM(E10:E10)*'Fane 12. Nøgletal'!C10+SUM(E11:E12)*'Fane 12. Nøgletal'!C11</f>
        <v>57167.642154700879</v>
      </c>
      <c r="F13" s="39" t="s">
        <v>3</v>
      </c>
      <c r="G13" s="1"/>
    </row>
    <row r="14" spans="1:7" x14ac:dyDescent="0.25">
      <c r="A14" s="1"/>
      <c r="B14" s="74" t="s">
        <v>115</v>
      </c>
      <c r="C14" s="74"/>
      <c r="D14" s="74"/>
      <c r="E14" s="8">
        <f>-SUM(E9:E9,E11:E13)*'Fane 12. Nøgletal'!C17</f>
        <v>-77495.465399300389</v>
      </c>
      <c r="F14" s="39" t="s">
        <v>3</v>
      </c>
      <c r="G14" s="1"/>
    </row>
    <row r="15" spans="1:7" x14ac:dyDescent="0.25">
      <c r="A15" s="1"/>
      <c r="B15" s="76" t="s">
        <v>28</v>
      </c>
      <c r="C15" s="76"/>
      <c r="D15" s="76"/>
      <c r="E15" s="9">
        <f>SUM(E9,E11:E14)</f>
        <v>4481061.3227948397</v>
      </c>
      <c r="F15" s="37" t="s">
        <v>3</v>
      </c>
      <c r="G15" s="1"/>
    </row>
    <row r="16" spans="1:7" x14ac:dyDescent="0.25">
      <c r="A16" s="1"/>
      <c r="B16" s="77" t="s">
        <v>16</v>
      </c>
      <c r="C16" s="77"/>
      <c r="D16" s="77"/>
      <c r="E16" s="43"/>
      <c r="F16" s="43"/>
      <c r="G16" s="1"/>
    </row>
    <row r="17" spans="1:7" x14ac:dyDescent="0.25">
      <c r="A17" s="1"/>
      <c r="B17" s="71" t="s">
        <v>16</v>
      </c>
      <c r="C17" s="71"/>
      <c r="D17" s="71"/>
      <c r="E17" s="9">
        <v>2075399.4784138994</v>
      </c>
      <c r="F17" s="37" t="s">
        <v>3</v>
      </c>
      <c r="G17" s="1"/>
    </row>
    <row r="18" spans="1:7" x14ac:dyDescent="0.25">
      <c r="A18" s="1"/>
      <c r="B18" s="43" t="s">
        <v>71</v>
      </c>
      <c r="C18" s="43"/>
      <c r="D18" s="43"/>
      <c r="E18" s="43"/>
      <c r="F18" s="43"/>
      <c r="G18" s="1"/>
    </row>
    <row r="19" spans="1:7" ht="27" customHeight="1" x14ac:dyDescent="0.25">
      <c r="A19" s="1"/>
      <c r="B19" s="70" t="s">
        <v>74</v>
      </c>
      <c r="C19" s="70"/>
      <c r="D19" s="70"/>
      <c r="E19" s="9">
        <v>10181.258395126177</v>
      </c>
      <c r="F19" s="37" t="s">
        <v>3</v>
      </c>
      <c r="G19" s="1"/>
    </row>
    <row r="20" spans="1:7" x14ac:dyDescent="0.25">
      <c r="A20" s="1"/>
      <c r="B20" s="43" t="s">
        <v>10</v>
      </c>
      <c r="C20" s="43"/>
      <c r="D20" s="43"/>
      <c r="E20" s="43"/>
      <c r="F20" s="43"/>
      <c r="G20" s="1"/>
    </row>
    <row r="21" spans="1:7" x14ac:dyDescent="0.25">
      <c r="A21" s="1"/>
      <c r="B21" s="71" t="s">
        <v>18</v>
      </c>
      <c r="C21" s="71"/>
      <c r="D21" s="71"/>
      <c r="E21" s="9">
        <v>-1831902</v>
      </c>
      <c r="F21" s="37" t="s">
        <v>3</v>
      </c>
      <c r="G21" s="1"/>
    </row>
    <row r="22" spans="1:7" x14ac:dyDescent="0.25">
      <c r="A22" s="1"/>
      <c r="B22" s="43" t="s">
        <v>23</v>
      </c>
      <c r="C22" s="43"/>
      <c r="D22" s="43"/>
      <c r="E22" s="10">
        <f>SUM(E21,E19,E17,E15)</f>
        <v>4734740.0596038653</v>
      </c>
      <c r="F22" s="11" t="s">
        <v>3</v>
      </c>
      <c r="G22" s="1"/>
    </row>
    <row r="23" spans="1:7" ht="28.5" customHeight="1" x14ac:dyDescent="0.25">
      <c r="A23" s="1"/>
      <c r="B23" s="69" t="s">
        <v>118</v>
      </c>
      <c r="C23" s="69"/>
      <c r="D23" s="69"/>
      <c r="E23" s="69"/>
      <c r="F23" s="69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deDkt7HiqQSqvLK3TAC3qAF942BI+b+woAXzc1Y4gPTzeNaDDz7Yn6n5vnphixsiG4gKnHEFY5O/1h3SJkkubA==" saltValue="zxwgInB34J5c/dUKhFhU4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110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8" t="s">
        <v>58</v>
      </c>
      <c r="C8" s="79"/>
      <c r="D8" s="80"/>
      <c r="E8" s="1"/>
      <c r="F8" s="1"/>
    </row>
    <row r="9" spans="1:6" ht="15" customHeight="1" x14ac:dyDescent="0.25">
      <c r="A9" s="1"/>
      <c r="B9" s="19" t="s">
        <v>43</v>
      </c>
      <c r="C9" s="37" t="s">
        <v>59</v>
      </c>
      <c r="D9" s="37"/>
      <c r="E9" s="1"/>
      <c r="F9" s="1"/>
    </row>
    <row r="10" spans="1:6" x14ac:dyDescent="0.25">
      <c r="A10" s="1"/>
      <c r="B10" s="30" t="s">
        <v>158</v>
      </c>
      <c r="C10" s="8">
        <v>2087307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4120</v>
      </c>
      <c r="D11" s="12" t="s">
        <v>3</v>
      </c>
      <c r="E11" s="1"/>
      <c r="F11" s="1"/>
    </row>
    <row r="12" spans="1:6" ht="26.25" x14ac:dyDescent="0.25">
      <c r="A12" s="1"/>
      <c r="B12" s="34" t="s">
        <v>160</v>
      </c>
      <c r="C12" s="8">
        <v>12548</v>
      </c>
      <c r="D12" s="12" t="s">
        <v>3</v>
      </c>
      <c r="E12" s="1"/>
      <c r="F12" s="1"/>
    </row>
    <row r="13" spans="1:6" x14ac:dyDescent="0.25">
      <c r="A13" s="1"/>
      <c r="B13" s="30" t="s">
        <v>161</v>
      </c>
      <c r="C13" s="8">
        <v>10610</v>
      </c>
      <c r="D13" s="12" t="s">
        <v>3</v>
      </c>
      <c r="E13" s="1"/>
      <c r="F13" s="1"/>
    </row>
    <row r="14" spans="1:6" x14ac:dyDescent="0.25">
      <c r="A14" s="1"/>
      <c r="B14" s="47" t="s">
        <v>60</v>
      </c>
      <c r="C14" s="10">
        <f>SUM(C10:C13)</f>
        <v>2114585</v>
      </c>
      <c r="D14" s="11" t="s">
        <v>3</v>
      </c>
      <c r="E14" s="1"/>
      <c r="F14" s="1"/>
    </row>
    <row r="15" spans="1:6" x14ac:dyDescent="0.25">
      <c r="A15" s="1"/>
      <c r="B15" s="47" t="s">
        <v>61</v>
      </c>
      <c r="C15" s="10">
        <f>C14*(1+'Fane 12. Nøgletal'!C12)^2</f>
        <v>2198720.2982926499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EKtNBmEW4THz6dAMrogQ2HaXeQh1RDwyhSd5pmPCNPjXoBUl0wOPh+kz/1leejjuUfayycAxm+R7aj7PSGasQg==" saltValue="/zRGechqQxt+4HyajWmXb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119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1" t="s">
        <v>47</v>
      </c>
      <c r="C6" s="81"/>
      <c r="D6" s="81"/>
      <c r="E6" s="81"/>
      <c r="F6" s="81"/>
      <c r="G6" s="1"/>
    </row>
    <row r="7" spans="1:7" ht="15" customHeight="1" x14ac:dyDescent="0.25">
      <c r="A7" s="1"/>
      <c r="B7" s="82" t="s">
        <v>45</v>
      </c>
      <c r="C7" s="82"/>
      <c r="D7" s="82"/>
      <c r="E7" s="8">
        <v>-63020.021666666682</v>
      </c>
      <c r="F7" s="12" t="s">
        <v>3</v>
      </c>
      <c r="G7" s="1"/>
    </row>
    <row r="8" spans="1:7" ht="15" customHeight="1" x14ac:dyDescent="0.25">
      <c r="A8" s="1"/>
      <c r="B8" s="82" t="s">
        <v>46</v>
      </c>
      <c r="C8" s="82"/>
      <c r="D8" s="82"/>
      <c r="E8" s="8">
        <v>83313.134801399894</v>
      </c>
      <c r="F8" s="12" t="s">
        <v>3</v>
      </c>
      <c r="G8" s="1"/>
    </row>
    <row r="9" spans="1:7" ht="15" customHeight="1" x14ac:dyDescent="0.25">
      <c r="A9" s="1"/>
      <c r="B9" s="84" t="s">
        <v>129</v>
      </c>
      <c r="C9" s="85"/>
      <c r="D9" s="86"/>
      <c r="E9" s="9">
        <f>SUM(E7:E8)</f>
        <v>20293.113134733212</v>
      </c>
      <c r="F9" s="15" t="s">
        <v>3</v>
      </c>
      <c r="G9" s="1"/>
    </row>
    <row r="10" spans="1:7" ht="15" customHeight="1" x14ac:dyDescent="0.25">
      <c r="A10" s="1"/>
      <c r="B10" s="78"/>
      <c r="C10" s="79"/>
      <c r="D10" s="79"/>
      <c r="E10" s="79"/>
      <c r="F10" s="80"/>
      <c r="G10" s="1"/>
    </row>
    <row r="11" spans="1:7" ht="27" customHeight="1" x14ac:dyDescent="0.25">
      <c r="A11" s="1"/>
      <c r="B11" s="69" t="s">
        <v>113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99</v>
      </c>
      <c r="C14" s="81"/>
      <c r="D14" s="81"/>
      <c r="E14" s="81"/>
      <c r="F14" s="81"/>
      <c r="G14" s="1"/>
    </row>
    <row r="15" spans="1:7" x14ac:dyDescent="0.25">
      <c r="A15" s="1"/>
      <c r="B15" s="82" t="s">
        <v>100</v>
      </c>
      <c r="C15" s="82"/>
      <c r="D15" s="82"/>
      <c r="E15" s="8">
        <v>4890819.656057138</v>
      </c>
      <c r="F15" s="12" t="s">
        <v>3</v>
      </c>
      <c r="G15" s="1"/>
    </row>
    <row r="16" spans="1:7" x14ac:dyDescent="0.25">
      <c r="A16" s="1"/>
      <c r="B16" s="82" t="s">
        <v>101</v>
      </c>
      <c r="C16" s="82"/>
      <c r="D16" s="82"/>
      <c r="E16" s="8">
        <v>4699544</v>
      </c>
      <c r="F16" s="12" t="s">
        <v>3</v>
      </c>
      <c r="G16" s="1"/>
    </row>
    <row r="17" spans="1:7" x14ac:dyDescent="0.25">
      <c r="A17" s="1"/>
      <c r="B17" s="82" t="s">
        <v>44</v>
      </c>
      <c r="C17" s="82"/>
      <c r="D17" s="82"/>
      <c r="E17" s="8">
        <v>0</v>
      </c>
      <c r="F17" s="12" t="s">
        <v>3</v>
      </c>
      <c r="G17" s="1"/>
    </row>
    <row r="18" spans="1:7" x14ac:dyDescent="0.25">
      <c r="A18" s="1"/>
      <c r="B18" s="83" t="s">
        <v>130</v>
      </c>
      <c r="C18" s="83"/>
      <c r="D18" s="83"/>
      <c r="E18" s="9">
        <f>E15-(E16-E17)</f>
        <v>191275.656057138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112</v>
      </c>
      <c r="C20" s="69"/>
      <c r="D20" s="69"/>
      <c r="E20" s="69"/>
      <c r="F20" s="6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1" t="s">
        <v>66</v>
      </c>
      <c r="C23" s="81"/>
      <c r="D23" s="81"/>
      <c r="E23" s="81"/>
      <c r="F23" s="81"/>
      <c r="G23" s="1"/>
    </row>
    <row r="24" spans="1:7" x14ac:dyDescent="0.25">
      <c r="A24" s="1"/>
      <c r="B24" s="82" t="s">
        <v>67</v>
      </c>
      <c r="C24" s="82"/>
      <c r="D24" s="82"/>
      <c r="E24" s="8">
        <v>4737086.4286108501</v>
      </c>
      <c r="F24" s="12" t="s">
        <v>3</v>
      </c>
      <c r="G24" s="1"/>
    </row>
    <row r="25" spans="1:7" x14ac:dyDescent="0.25">
      <c r="A25" s="1"/>
      <c r="B25" s="82" t="s">
        <v>68</v>
      </c>
      <c r="C25" s="82"/>
      <c r="D25" s="82"/>
      <c r="E25" s="8">
        <v>5107681</v>
      </c>
      <c r="F25" s="12" t="s">
        <v>3</v>
      </c>
      <c r="G25" s="1"/>
    </row>
    <row r="26" spans="1:7" x14ac:dyDescent="0.25">
      <c r="A26" s="1"/>
      <c r="B26" s="82" t="s">
        <v>44</v>
      </c>
      <c r="C26" s="82"/>
      <c r="D26" s="82"/>
      <c r="E26" s="8">
        <v>0</v>
      </c>
      <c r="F26" s="12" t="s">
        <v>3</v>
      </c>
      <c r="G26" s="1"/>
    </row>
    <row r="27" spans="1:7" x14ac:dyDescent="0.25">
      <c r="A27" s="1"/>
      <c r="B27" s="83" t="s">
        <v>130</v>
      </c>
      <c r="C27" s="83"/>
      <c r="D27" s="83"/>
      <c r="E27" s="9">
        <f>E24-(E25-E26)</f>
        <v>-370594.57138914987</v>
      </c>
      <c r="F27" s="15" t="s">
        <v>3</v>
      </c>
      <c r="G27" s="1"/>
    </row>
    <row r="28" spans="1:7" x14ac:dyDescent="0.25">
      <c r="A28" s="1"/>
      <c r="B28" s="78"/>
      <c r="C28" s="79"/>
      <c r="D28" s="79"/>
      <c r="E28" s="79"/>
      <c r="F28" s="8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1" t="s">
        <v>114</v>
      </c>
      <c r="C31" s="81"/>
      <c r="D31" s="81"/>
      <c r="E31" s="81"/>
      <c r="F31" s="81"/>
      <c r="G31" s="1"/>
    </row>
    <row r="32" spans="1:7" x14ac:dyDescent="0.25">
      <c r="A32" s="1"/>
      <c r="B32" s="75" t="s">
        <v>47</v>
      </c>
      <c r="C32" s="75"/>
      <c r="D32" s="75"/>
      <c r="E32" s="8">
        <f>E9</f>
        <v>20293.113134733212</v>
      </c>
      <c r="F32" s="12" t="s">
        <v>3</v>
      </c>
      <c r="G32" s="1"/>
    </row>
    <row r="33" spans="1:7" x14ac:dyDescent="0.25">
      <c r="A33" s="1"/>
      <c r="B33" s="75" t="s">
        <v>128</v>
      </c>
      <c r="C33" s="75"/>
      <c r="D33" s="75"/>
      <c r="E33" s="8">
        <f>IF(E18+E27&lt;0,E18+E27,0)</f>
        <v>-179318.91533201188</v>
      </c>
      <c r="F33" s="12" t="s">
        <v>3</v>
      </c>
      <c r="G33" s="1"/>
    </row>
    <row r="34" spans="1:7" x14ac:dyDescent="0.25">
      <c r="A34" s="1"/>
      <c r="B34" s="75" t="s">
        <v>122</v>
      </c>
      <c r="C34" s="75"/>
      <c r="D34" s="75"/>
      <c r="E34" s="8">
        <v>4</v>
      </c>
      <c r="F34" s="12" t="s">
        <v>27</v>
      </c>
      <c r="G34" s="1"/>
    </row>
    <row r="35" spans="1:7" x14ac:dyDescent="0.25">
      <c r="A35" s="1"/>
      <c r="B35" s="83" t="s">
        <v>149</v>
      </c>
      <c r="C35" s="83"/>
      <c r="D35" s="83"/>
      <c r="E35" s="9">
        <f>SUM(E32:E33)/E34</f>
        <v>-39756.450549319663</v>
      </c>
      <c r="F35" s="15" t="s">
        <v>3</v>
      </c>
      <c r="G35" s="1"/>
    </row>
    <row r="36" spans="1:7" x14ac:dyDescent="0.25">
      <c r="A36" s="1"/>
      <c r="B36" s="81"/>
      <c r="C36" s="81"/>
      <c r="D36" s="81"/>
      <c r="E36" s="81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PobEKmG9IlykOQ0jQlA6vLbdU+VI3U8PiwRTw97d15Kci7AXI0u9GwDnA4WmQUyxgZbZo9utolDN+8QqWL5ZWA==" saltValue="aFT5CSLn1RcTjYM8OZ7/VQ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150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1" t="s">
        <v>94</v>
      </c>
      <c r="C8" s="81"/>
      <c r="D8" s="81"/>
      <c r="E8" s="81"/>
      <c r="F8" s="81"/>
      <c r="G8" s="1"/>
    </row>
    <row r="9" spans="1:7" ht="28.5" customHeight="1" x14ac:dyDescent="0.25">
      <c r="A9" s="1"/>
      <c r="B9" s="70" t="s">
        <v>98</v>
      </c>
      <c r="C9" s="70"/>
      <c r="D9" s="70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7" t="s">
        <v>3</v>
      </c>
      <c r="G9" s="1"/>
    </row>
    <row r="10" spans="1:7" x14ac:dyDescent="0.25">
      <c r="A10" s="1"/>
      <c r="B10" s="43" t="s">
        <v>109</v>
      </c>
      <c r="C10" s="43"/>
      <c r="D10" s="43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eo+N4Kt2obNqKIMcJAwIn6vOFzCWRITbOcKGRz398fnCLEW8XUgRYtbnFyQ+uIP4vqbiAArgFiZNaDQ0j6mbfQ==" saltValue="xv7jwYosp2Hm4W2MNrfki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2019-09-04T18:23:30Z</dcterms:modified>
</cp:coreProperties>
</file>