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Vandværket Lyngen (V203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11" i="15" l="1"/>
  <c r="E9" i="23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2" i="19"/>
  <c r="C13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<sst xmlns="http://schemas.openxmlformats.org/spreadsheetml/2006/main" count="420" uniqueCount="162">
  <si>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</si>
  <si>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</si>
  <si>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</si>
  <si>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</si>
  <si>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</si>
  <si>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</si>
  <si>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</si>
  <si>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</si>
  <si>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</si>
  <si>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</si>
  <si>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</si>
  <si>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</si>
  <si>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</si>
  <si>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</si>
  <si>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</si>
  <si>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</si>
  <si>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</si>
  <si>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</si>
  <si>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</si>
  <si>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</si>
  <si>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</si>
  <si>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</si>
  <si>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</si>
  <si>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</si>
  <si>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</si>
  <si>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</si>
  <si>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</si>
  <si>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</si>
  <si>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</si>
  <si>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</si>
  <si>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</si>
  <si>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</si>
  <si>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</si>
  <si>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</si>
  <si>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</si>
  <si>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</si>
  <si>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</si>
  <si>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</si>
  <si>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</si>
  <si>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</si>
  <si>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</si>
  <si>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</si>
  <si>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</si>
  <si>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</si>
  <si>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</si>
  <si>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</si>
  <si>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</si>
  <si>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</si>
  <si>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</si>
  <si>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</si>
  <si>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</si>
  <si>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</si>
  <si>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</si>
  <si>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</si>
  <si>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</si>
  <si>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</si>
  <si>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</si>
  <si>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</si>
  <si>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</si>
  <si>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</si>
  <si>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</si>
  <si>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</si>
  <si>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</si>
  <si>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</si>
  <si>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</si>
  <si>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</si>
  <si>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</si>
  <si>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</si>
  <si>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</si>
  <si>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</si>
  <si>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</si>
  <si>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</si>
  <si>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</si>
  <si>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</si>
  <si>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</si>
  <si>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</si>
  <si>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</si>
  <si>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</si>
  <si>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</si>
  <si>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</si>
  <si>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</si>
  <si>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</si>
  <si>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</si>
  <si>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</si>
  <si>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</si>
  <si>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</si>
  <si>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</si>
  <si>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</si>
  <si>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</si>
  <si>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</si>
  <si>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</si>
  <si>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</si>
  <si>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</si>
  <si>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</si>
  <si>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</si>
  <si>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</si>
  <si>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</si>
  <si>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</si>
  <si>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</si>
  <si>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</si>
  <si>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</si>
  <si>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</si>
  <si>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</si>
  <si>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</si>
  <si>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</si>
  <si>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</si>
  <si>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</si>
  <si>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</si>
  <si>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</si>
  <si>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</si>
  <si>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</si>
  <si>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</si>
  <si>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</si>
  <si>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</si>
  <si>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</si>
  <si>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</si>
  <si>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</si>
  <si>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</si>
  <si>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</si>
  <si>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</si>
  <si>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</si>
  <si>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</si>
  <si>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</si>
  <si>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</si>
  <si>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</si>
  <si>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</si>
  <si>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</si>
  <si>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</si>
  <si>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</si>
  <si>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</si>
  <si>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</si>
  <si>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</si>
  <si>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</si>
  <si>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</si>
  <si>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</si>
  <si>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</si>
  <si>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</si>
  <si>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</si>
  <si>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</si>
  <si>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</si>
  <si>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</si>
  <si>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</si>
  <si>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</si>
  <si>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</si>
  <si>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</si>
  <si>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</si>
  <si>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</si>
  <si>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</si>
  <si>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</si>
  <si>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</si>
  <si>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</si>
  <si>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</si>
  <si>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</si>
  <si>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</si>
  <si>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</si>
  <si>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</si>
  <si>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</si>
  <si>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</si>
  <si>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Afgift for ledningsført vand</t>
  </si>
  <si>
    <t>Afgift til Forsyningssekretariatet</t>
  </si>
  <si>
    <t>Ingen engangstillæg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</si>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</sst>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3" t="s">
        <v>4</v>
      </c>
      <c r="E6" s="63"/>
      <c r="F6" s="63"/>
      <c r="G6" s="63"/>
      <c r="H6" s="3"/>
      <c r="I6" s="1"/>
    </row>
    <row r="7" spans="1:9" ht="15" customHeight="1" x14ac:dyDescent="0.25">
      <c r="A7" s="1"/>
      <c r="B7" s="1"/>
      <c r="C7" s="3"/>
      <c r="D7" s="63"/>
      <c r="E7" s="63"/>
      <c r="F7" s="63"/>
      <c r="G7" s="63"/>
      <c r="H7" s="3"/>
      <c r="I7" s="1"/>
    </row>
    <row r="8" spans="1:9" ht="15.75" x14ac:dyDescent="0.25">
      <c r="A8" s="1"/>
      <c r="B8" s="1"/>
      <c r="C8" s="4"/>
      <c r="D8" s="65" t="s">
        <v>116</v>
      </c>
      <c r="E8" s="65"/>
      <c r="F8" s="65"/>
      <c r="G8" s="6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4" t="s">
        <v>5</v>
      </c>
      <c r="E11" s="64"/>
      <c r="F11" s="64"/>
      <c r="G11" s="6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0" t="s">
        <v>49</v>
      </c>
      <c r="E13" s="61"/>
      <c r="F13" s="61"/>
      <c r="G13" s="62"/>
      <c r="H13" s="1"/>
      <c r="I13" s="1"/>
    </row>
    <row r="14" spans="1:9" x14ac:dyDescent="0.25">
      <c r="A14" s="1"/>
      <c r="B14" s="1"/>
      <c r="C14" s="6" t="s">
        <v>22</v>
      </c>
      <c r="D14" s="60" t="s">
        <v>117</v>
      </c>
      <c r="E14" s="61"/>
      <c r="F14" s="61"/>
      <c r="G14" s="62"/>
      <c r="H14" s="1"/>
      <c r="I14" s="1"/>
    </row>
    <row r="15" spans="1:9" x14ac:dyDescent="0.25">
      <c r="A15" s="1"/>
      <c r="B15" s="1"/>
      <c r="C15" s="6" t="s">
        <v>48</v>
      </c>
      <c r="D15" s="60" t="s">
        <v>75</v>
      </c>
      <c r="E15" s="61"/>
      <c r="F15" s="61"/>
      <c r="G15" s="62"/>
      <c r="H15" s="1"/>
      <c r="I15" s="1"/>
    </row>
    <row r="16" spans="1:9" x14ac:dyDescent="0.25">
      <c r="A16" s="1"/>
      <c r="B16" s="1"/>
      <c r="C16" s="6" t="s">
        <v>50</v>
      </c>
      <c r="D16" s="60" t="s">
        <v>76</v>
      </c>
      <c r="E16" s="61"/>
      <c r="F16" s="61"/>
      <c r="G16" s="62"/>
      <c r="H16" s="1"/>
      <c r="I16" s="1"/>
    </row>
    <row r="17" spans="1:9" x14ac:dyDescent="0.25">
      <c r="A17" s="1"/>
      <c r="B17" s="1"/>
      <c r="C17" s="6" t="s">
        <v>139</v>
      </c>
      <c r="D17" s="60" t="s">
        <v>57</v>
      </c>
      <c r="E17" s="61"/>
      <c r="F17" s="61"/>
      <c r="G17" s="62"/>
      <c r="H17" s="1"/>
      <c r="I17" s="1"/>
    </row>
    <row r="18" spans="1:9" x14ac:dyDescent="0.25">
      <c r="A18" s="1"/>
      <c r="B18" s="1"/>
      <c r="C18" s="6" t="s">
        <v>7</v>
      </c>
      <c r="D18" s="54" t="s">
        <v>16</v>
      </c>
      <c r="E18" s="55"/>
      <c r="F18" s="55"/>
      <c r="G18" s="56"/>
      <c r="H18" s="1"/>
      <c r="I18" s="1"/>
    </row>
    <row r="19" spans="1:9" x14ac:dyDescent="0.25">
      <c r="A19" s="1"/>
      <c r="B19" s="1"/>
      <c r="C19" s="6" t="s">
        <v>8</v>
      </c>
      <c r="D19" s="48" t="s">
        <v>97</v>
      </c>
      <c r="E19" s="49"/>
      <c r="F19" s="49"/>
      <c r="G19" s="50"/>
      <c r="H19" s="1"/>
      <c r="I19" s="1"/>
    </row>
    <row r="20" spans="1:9" x14ac:dyDescent="0.25">
      <c r="A20" s="1"/>
      <c r="B20" s="1"/>
      <c r="C20" s="6" t="s">
        <v>123</v>
      </c>
      <c r="D20" s="48" t="s">
        <v>147</v>
      </c>
      <c r="E20" s="49"/>
      <c r="F20" s="49"/>
      <c r="G20" s="50"/>
      <c r="H20" s="1"/>
      <c r="I20" s="1"/>
    </row>
    <row r="21" spans="1:9" x14ac:dyDescent="0.25">
      <c r="A21" s="1"/>
      <c r="B21" s="1"/>
      <c r="C21" s="6" t="s">
        <v>82</v>
      </c>
      <c r="D21" s="48" t="s">
        <v>51</v>
      </c>
      <c r="E21" s="49"/>
      <c r="F21" s="49"/>
      <c r="G21" s="50"/>
      <c r="H21" s="1"/>
      <c r="I21" s="1"/>
    </row>
    <row r="22" spans="1:9" x14ac:dyDescent="0.25">
      <c r="A22" s="1"/>
      <c r="B22" s="1"/>
      <c r="C22" s="6" t="s">
        <v>124</v>
      </c>
      <c r="D22" s="48" t="s">
        <v>83</v>
      </c>
      <c r="E22" s="49"/>
      <c r="F22" s="49"/>
      <c r="G22" s="50"/>
      <c r="H22" s="1"/>
      <c r="I22" s="1"/>
    </row>
    <row r="23" spans="1:9" x14ac:dyDescent="0.25">
      <c r="A23" s="1"/>
      <c r="B23" s="1"/>
      <c r="C23" s="6" t="s">
        <v>125</v>
      </c>
      <c r="D23" s="48" t="s">
        <v>84</v>
      </c>
      <c r="E23" s="49"/>
      <c r="F23" s="49"/>
      <c r="G23" s="50"/>
      <c r="H23" s="1"/>
      <c r="I23" s="1"/>
    </row>
    <row r="24" spans="1:9" x14ac:dyDescent="0.25">
      <c r="A24" s="1"/>
      <c r="B24" s="1"/>
      <c r="C24" s="6" t="s">
        <v>9</v>
      </c>
      <c r="D24" s="48" t="s">
        <v>52</v>
      </c>
      <c r="E24" s="49"/>
      <c r="F24" s="49"/>
      <c r="G24" s="50"/>
      <c r="H24" s="1"/>
      <c r="I24" s="1"/>
    </row>
    <row r="25" spans="1:9" x14ac:dyDescent="0.25">
      <c r="A25" s="1"/>
      <c r="B25" s="1"/>
      <c r="C25" s="6" t="s">
        <v>96</v>
      </c>
      <c r="D25" s="48" t="s">
        <v>53</v>
      </c>
      <c r="E25" s="49"/>
      <c r="F25" s="49"/>
      <c r="G25" s="50"/>
      <c r="H25" s="1"/>
      <c r="I25" s="1"/>
    </row>
    <row r="26" spans="1:9" x14ac:dyDescent="0.25">
      <c r="A26" s="1"/>
      <c r="B26" s="1"/>
      <c r="C26" s="6" t="s">
        <v>126</v>
      </c>
      <c r="D26" s="57" t="s">
        <v>10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21</v>
      </c>
      <c r="D27" s="51" t="s">
        <v>127</v>
      </c>
      <c r="E27" s="52"/>
      <c r="F27" s="52"/>
      <c r="G27" s="53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BHSdYjj95tz7zgtMfV3vVN9HQzfET4iRz0Uc1IQWPsitqY+4jsw8/sAt3qDQMjuvPIcLf1LRpDflKmJ9OPEC9A==" saltValue="w9S2QlO6jyvuv+DDJdaOYQ==" spinCount="100000" sheet="1" objects="1" scenarios="1"/>
  <mergeCells count="18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151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152</v>
      </c>
      <c r="C8" s="78"/>
      <c r="D8" s="78"/>
      <c r="E8" s="78"/>
      <c r="F8" s="78"/>
      <c r="G8" s="78"/>
      <c r="H8" s="79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6" t="s">
        <v>2</v>
      </c>
      <c r="F9" s="36" t="s">
        <v>15</v>
      </c>
      <c r="G9" s="36" t="s">
        <v>41</v>
      </c>
      <c r="H9" s="45"/>
      <c r="I9" s="1"/>
    </row>
    <row r="10" spans="1:9" x14ac:dyDescent="0.25">
      <c r="A10" s="1"/>
      <c r="B10" s="34" t="s">
        <v>156</v>
      </c>
      <c r="C10" s="35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7" t="s">
        <v>153</v>
      </c>
      <c r="C11" s="78"/>
      <c r="D11" s="79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HlEQ4doFd4dLpV9xlPn9p/GqpKccdhhYMkTJhs8iqNgCzpo79zKs1rcDs+MOSZfMnYbGOVpAJqIbFLSwQIfwVA==" saltValue="tPgJYdeo0oPR6kLXbLYRM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120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79</v>
      </c>
      <c r="C8" s="24"/>
      <c r="D8" s="24"/>
      <c r="E8" s="24"/>
      <c r="F8" s="47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157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6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y1xtdxLYt8bVtJcMM2fglFivN34fsYXvLymWHwnXqzaL//dXNsRbJ/M24s2PtxHJXeeXCH+K3PwJc8/3cD2xsQ==" saltValue="SW9KmIYzbuKVl/EScuUJ2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121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102</v>
      </c>
      <c r="C8" s="78"/>
      <c r="D8" s="78"/>
      <c r="E8" s="78"/>
      <c r="F8" s="79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160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6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7" t="s">
        <v>103</v>
      </c>
      <c r="C15" s="78"/>
      <c r="D15" s="78"/>
      <c r="E15" s="78"/>
      <c r="F15" s="79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5"/>
      <c r="G16" s="1"/>
    </row>
    <row r="17" spans="1:7" x14ac:dyDescent="0.25">
      <c r="A17" s="1"/>
      <c r="B17" s="22" t="s">
        <v>160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6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6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7" t="s">
        <v>104</v>
      </c>
      <c r="C22" s="78"/>
      <c r="D22" s="78"/>
      <c r="E22" s="78"/>
      <c r="F22" s="79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5"/>
      <c r="G23" s="1"/>
    </row>
    <row r="24" spans="1:7" x14ac:dyDescent="0.25">
      <c r="A24" s="1"/>
      <c r="B24" s="22" t="s">
        <v>160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6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6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7" t="s">
        <v>105</v>
      </c>
      <c r="C29" s="78"/>
      <c r="D29" s="78"/>
      <c r="E29" s="78"/>
      <c r="F29" s="79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5"/>
      <c r="G30" s="1"/>
    </row>
    <row r="31" spans="1:7" x14ac:dyDescent="0.25">
      <c r="A31" s="1"/>
      <c r="B31" s="22" t="s">
        <v>160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6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6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KnVhL3peo0Wg1Bo8cy4GsxmFZlUV6Uej2fpXl0lBW4LpUIZePn9HVwZVV93MDkZwQzRR0tqyLhsviSLQA49+PQ==" saltValue="z9hVCH0WENwcHhxb2MMilg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134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32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33</v>
      </c>
      <c r="C9" s="89" t="s">
        <v>15</v>
      </c>
      <c r="D9" s="90"/>
      <c r="E9" s="89" t="s">
        <v>42</v>
      </c>
      <c r="F9" s="90"/>
      <c r="G9" s="1"/>
    </row>
    <row r="10" spans="1:7" x14ac:dyDescent="0.25">
      <c r="A10" s="1"/>
      <c r="B10" s="22" t="s">
        <v>154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XiI87+qC0FI01HquPfgGA02tX/WOPXfqFOSrP+TxqvjKYAIh6wVPe8ux+zLd3604Aqwe5J+LvklzLc/2yKrLFA==" saltValue="Vsw7ZJbPIiEE1MQDt7m3y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135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91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25</v>
      </c>
      <c r="C9" s="44" t="s">
        <v>15</v>
      </c>
      <c r="D9" s="45"/>
      <c r="E9" s="44" t="s">
        <v>42</v>
      </c>
      <c r="F9" s="45"/>
      <c r="G9" s="1"/>
    </row>
    <row r="10" spans="1:7" x14ac:dyDescent="0.25">
      <c r="A10" s="1"/>
      <c r="B10" s="22" t="s">
        <v>155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7" t="s">
        <v>92</v>
      </c>
      <c r="C14" s="78"/>
      <c r="D14" s="78"/>
      <c r="E14" s="78"/>
      <c r="F14" s="79"/>
      <c r="G14" s="1"/>
    </row>
    <row r="15" spans="1:7" ht="26.25" x14ac:dyDescent="0.25">
      <c r="A15" s="1"/>
      <c r="B15" s="44" t="s">
        <v>25</v>
      </c>
      <c r="C15" s="44" t="s">
        <v>15</v>
      </c>
      <c r="D15" s="45"/>
      <c r="E15" s="44" t="s">
        <v>42</v>
      </c>
      <c r="F15" s="45"/>
      <c r="G15" s="1"/>
    </row>
    <row r="16" spans="1:7" x14ac:dyDescent="0.25">
      <c r="A16" s="1"/>
      <c r="B16" s="22" t="s">
        <v>155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6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6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7" t="s">
        <v>90</v>
      </c>
      <c r="C20" s="78"/>
      <c r="D20" s="78"/>
      <c r="E20" s="78"/>
      <c r="F20" s="79"/>
      <c r="G20" s="1"/>
    </row>
    <row r="21" spans="1:7" ht="26.25" x14ac:dyDescent="0.25">
      <c r="A21" s="1"/>
      <c r="B21" s="44" t="s">
        <v>25</v>
      </c>
      <c r="C21" s="44" t="s">
        <v>15</v>
      </c>
      <c r="D21" s="45"/>
      <c r="E21" s="44" t="s">
        <v>42</v>
      </c>
      <c r="F21" s="45"/>
      <c r="G21" s="1"/>
    </row>
    <row r="22" spans="1:7" x14ac:dyDescent="0.25">
      <c r="A22" s="1"/>
      <c r="B22" s="22" t="s">
        <v>155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6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6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7" t="s">
        <v>93</v>
      </c>
      <c r="C26" s="78"/>
      <c r="D26" s="78"/>
      <c r="E26" s="78"/>
      <c r="F26" s="79"/>
      <c r="G26" s="1"/>
    </row>
    <row r="27" spans="1:7" ht="26.25" x14ac:dyDescent="0.25">
      <c r="A27" s="1"/>
      <c r="B27" s="44" t="s">
        <v>25</v>
      </c>
      <c r="C27" s="44" t="s">
        <v>15</v>
      </c>
      <c r="D27" s="45"/>
      <c r="E27" s="44" t="s">
        <v>42</v>
      </c>
      <c r="F27" s="45"/>
      <c r="G27" s="1"/>
    </row>
    <row r="28" spans="1:7" x14ac:dyDescent="0.25">
      <c r="A28" s="1"/>
      <c r="B28" s="22" t="s">
        <v>155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6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6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1Rt9Vcp0L/kQIzkxLWm72Z1qBJsZDeVrZfveN7NSIRV6KTYVOKW+GfF/PA810f7D/DXTx1rfekJi2RmeL8ayNA==" saltValue="hojboW5R/oHzQj3cn9UjP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136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17</v>
      </c>
      <c r="C8" s="78"/>
      <c r="D8" s="78"/>
      <c r="E8" s="78"/>
      <c r="F8" s="78"/>
      <c r="G8" s="78"/>
      <c r="H8" s="79"/>
      <c r="I8" s="1"/>
    </row>
    <row r="9" spans="1:9" x14ac:dyDescent="0.25">
      <c r="A9" s="1"/>
      <c r="B9" s="91" t="s">
        <v>11</v>
      </c>
      <c r="C9" s="92"/>
      <c r="D9" s="92"/>
      <c r="E9" s="92"/>
      <c r="F9" s="93"/>
      <c r="G9" s="8">
        <v>6130348</v>
      </c>
      <c r="H9" s="12" t="s">
        <v>3</v>
      </c>
      <c r="I9" s="1"/>
    </row>
    <row r="10" spans="1:9" x14ac:dyDescent="0.25">
      <c r="A10" s="1"/>
      <c r="B10" s="91" t="s">
        <v>77</v>
      </c>
      <c r="C10" s="92"/>
      <c r="D10" s="92"/>
      <c r="E10" s="92"/>
      <c r="F10" s="93"/>
      <c r="G10" s="8">
        <v>0</v>
      </c>
      <c r="H10" s="12" t="s">
        <v>3</v>
      </c>
      <c r="I10" s="1"/>
    </row>
    <row r="11" spans="1:9" x14ac:dyDescent="0.25">
      <c r="A11" s="1"/>
      <c r="B11" s="91" t="s">
        <v>69</v>
      </c>
      <c r="C11" s="92"/>
      <c r="D11" s="92"/>
      <c r="E11" s="92"/>
      <c r="F11" s="93"/>
      <c r="G11" s="8">
        <v>-5519142.8650793647</v>
      </c>
      <c r="H11" s="12" t="s">
        <v>3</v>
      </c>
      <c r="I11" s="1"/>
    </row>
    <row r="12" spans="1:9" x14ac:dyDescent="0.25">
      <c r="A12" s="1"/>
      <c r="B12" s="94" t="s">
        <v>14</v>
      </c>
      <c r="C12" s="95"/>
      <c r="D12" s="95"/>
      <c r="E12" s="95"/>
      <c r="F12" s="96"/>
      <c r="G12" s="17">
        <f>(G9+G10)+G11</f>
        <v>611205.13492063526</v>
      </c>
      <c r="H12" s="16" t="s">
        <v>3</v>
      </c>
      <c r="I12" s="1"/>
    </row>
    <row r="13" spans="1:9" x14ac:dyDescent="0.25">
      <c r="A13" s="1"/>
      <c r="B13" s="91" t="s">
        <v>12</v>
      </c>
      <c r="C13" s="92"/>
      <c r="D13" s="92"/>
      <c r="E13" s="92"/>
      <c r="F13" s="93"/>
      <c r="G13" s="8">
        <v>1</v>
      </c>
      <c r="H13" s="12" t="s">
        <v>27</v>
      </c>
      <c r="I13" s="1"/>
    </row>
    <row r="14" spans="1:9" x14ac:dyDescent="0.25">
      <c r="A14" s="1"/>
      <c r="B14" s="77" t="s">
        <v>78</v>
      </c>
      <c r="C14" s="78"/>
      <c r="D14" s="78"/>
      <c r="E14" s="78"/>
      <c r="F14" s="79"/>
      <c r="G14" s="10">
        <f>IF(G13 = 0,0,-G12/G13)</f>
        <v>-611205.13492063526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cquuee3Q6XJEkMrnWPdmVzDZw2SZ9Ue/4xth1iLSy0TKX884+HKp9I5YZZqG+oJ+6+Z7m7EF9t8Itn4LVKjTSA==" saltValue="mLAg8cQop34poXO2kUibTg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1" t="s">
        <v>137</v>
      </c>
      <c r="C3" s="71"/>
      <c r="D3" s="1"/>
    </row>
    <row r="4" spans="1:4" ht="25.5" customHeight="1" x14ac:dyDescent="0.25">
      <c r="A4" s="1"/>
      <c r="B4" s="71"/>
      <c r="C4" s="7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20</v>
      </c>
      <c r="C8" s="47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6"/>
      <c r="C13" s="4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115</v>
      </c>
      <c r="C16" s="47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7"/>
      <c r="C18" s="98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KIrVHTRASwBBg9R45NDN69PJLgKw+20Tm3hfBpFPwyxYu+M4yHRhgYS4FM5sMcf7SWknKT57LttkXzhcR5SwcQ==" saltValue="Zl0EQpJW5d/48N6VYj0KwA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56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x14ac:dyDescent="0.25">
      <c r="A9" s="1"/>
      <c r="B9" s="38" t="s">
        <v>35</v>
      </c>
      <c r="C9" s="38"/>
      <c r="D9" s="38"/>
      <c r="E9" s="7">
        <f>'Fane 3. Omkostninger i ØR2019'!E15</f>
        <v>3417903.0301961829</v>
      </c>
      <c r="F9" s="38" t="s">
        <v>3</v>
      </c>
      <c r="G9" s="1"/>
    </row>
    <row r="10" spans="1:7" x14ac:dyDescent="0.25">
      <c r="A10" s="1"/>
      <c r="B10" s="40" t="s">
        <v>140</v>
      </c>
      <c r="C10" s="38"/>
      <c r="D10" s="38"/>
      <c r="E10" s="7">
        <f>'Fane 3. Omkostninger i ØR2019'!E10*(1-'Fane 12. Nøgletal'!C17)*(1+'Fane 12. Nøgletal'!C10)</f>
        <v>0</v>
      </c>
      <c r="F10" s="38" t="s">
        <v>3</v>
      </c>
      <c r="G10" s="1"/>
    </row>
    <row r="11" spans="1:7" x14ac:dyDescent="0.25">
      <c r="A11" s="1"/>
      <c r="B11" s="40" t="s">
        <v>143</v>
      </c>
      <c r="C11" s="38"/>
      <c r="D11" s="38"/>
      <c r="E11" s="7">
        <f>('Fane 3. Omkostninger i ØR2019'!E11+'Fane 3. Omkostninger i ØR2019'!E12)*(1-'Fane 12. Nøgletal'!C17)*(1+'Fane 12. Nøgletal'!C11)</f>
        <v>0</v>
      </c>
      <c r="F11" s="38" t="s">
        <v>3</v>
      </c>
      <c r="G11" s="1"/>
    </row>
    <row r="12" spans="1:7" ht="17.100000000000001" customHeight="1" x14ac:dyDescent="0.25">
      <c r="A12" s="1"/>
      <c r="B12" s="31" t="s">
        <v>141</v>
      </c>
      <c r="C12" s="38"/>
      <c r="D12" s="38"/>
      <c r="E12" s="7">
        <f>'Fane 8.1. Varige tillæg'!C12+'Fane 8.1. Varige tillæg'!E12</f>
        <v>0</v>
      </c>
      <c r="F12" s="38" t="s">
        <v>3</v>
      </c>
      <c r="G12" s="1"/>
    </row>
    <row r="13" spans="1:7" ht="17.100000000000001" customHeight="1" x14ac:dyDescent="0.25">
      <c r="A13" s="1"/>
      <c r="B13" s="31" t="s">
        <v>144</v>
      </c>
      <c r="C13" s="38"/>
      <c r="D13" s="38"/>
      <c r="E13" s="8">
        <f>-('Fane 10. Bortfald'!C12+'Fane 10. Bortfald'!E12)</f>
        <v>0</v>
      </c>
      <c r="F13" s="38" t="s">
        <v>3</v>
      </c>
      <c r="G13" s="1"/>
    </row>
    <row r="14" spans="1:7" ht="17.100000000000001" customHeight="1" x14ac:dyDescent="0.25">
      <c r="A14" s="1"/>
      <c r="B14" s="31" t="s">
        <v>111</v>
      </c>
      <c r="C14" s="38"/>
      <c r="D14" s="38"/>
      <c r="E14" s="8">
        <f>'Fane 9. Tilknyttet aktivitet'!C12+'Fane 9. Tilknyttet aktivitet'!E12</f>
        <v>0</v>
      </c>
      <c r="F14" s="38" t="s">
        <v>3</v>
      </c>
      <c r="G14" s="1"/>
    </row>
    <row r="15" spans="1:7" ht="17.100000000000001" customHeight="1" x14ac:dyDescent="0.25">
      <c r="A15" s="1"/>
      <c r="B15" s="31" t="s">
        <v>26</v>
      </c>
      <c r="C15" s="38"/>
      <c r="D15" s="38"/>
      <c r="E15" s="8">
        <f>(E9-SUM(E10:E11))*'Fane 12. Nøgletal'!C9+E10*'Fane 12. Nøgletal'!C10+E11*'Fane 12. Nøgletal'!C11+SUM(E12:E14)*'Fane 12. Nøgletal'!C12</f>
        <v>43407.368483491518</v>
      </c>
      <c r="F15" s="38" t="s">
        <v>3</v>
      </c>
      <c r="G15" s="1"/>
    </row>
    <row r="16" spans="1:7" ht="17.100000000000001" customHeight="1" x14ac:dyDescent="0.25">
      <c r="A16" s="1"/>
      <c r="B16" s="31" t="s">
        <v>115</v>
      </c>
      <c r="C16" s="38"/>
      <c r="D16" s="38"/>
      <c r="E16" s="8">
        <f>-SUM(E9,E12:E15)*'Fane 12. Nøgletal'!C17</f>
        <v>-58842.276777554471</v>
      </c>
      <c r="F16" s="38" t="s">
        <v>3</v>
      </c>
      <c r="G16" s="1"/>
    </row>
    <row r="17" spans="1:7" ht="17.100000000000001" customHeight="1" x14ac:dyDescent="0.25">
      <c r="A17" s="1"/>
      <c r="B17" s="43" t="s">
        <v>28</v>
      </c>
      <c r="C17" s="41"/>
      <c r="D17" s="41"/>
      <c r="E17" s="9">
        <f>SUM(E9,E12:E16)</f>
        <v>3402468.1219021203</v>
      </c>
      <c r="F17" s="36" t="s">
        <v>3</v>
      </c>
      <c r="G17" s="1"/>
    </row>
    <row r="18" spans="1:7" ht="15" customHeight="1" x14ac:dyDescent="0.25">
      <c r="A18" s="1"/>
      <c r="B18" s="42" t="s">
        <v>16</v>
      </c>
      <c r="C18" s="42"/>
      <c r="D18" s="42"/>
      <c r="E18" s="42"/>
      <c r="F18" s="42"/>
      <c r="G18" s="1"/>
    </row>
    <row r="19" spans="1:7" ht="15" customHeight="1" x14ac:dyDescent="0.25">
      <c r="A19" s="1"/>
      <c r="B19" s="36" t="s">
        <v>16</v>
      </c>
      <c r="C19" s="36"/>
      <c r="D19" s="36"/>
      <c r="E19" s="9">
        <f>'Fane 4. Ikke-påvirkelige omk.'!C13</f>
        <v>1991896.0493107501</v>
      </c>
      <c r="F19" s="36" t="s">
        <v>3</v>
      </c>
      <c r="G19" s="1"/>
    </row>
    <row r="20" spans="1:7" ht="15" customHeight="1" x14ac:dyDescent="0.25">
      <c r="A20" s="1"/>
      <c r="B20" s="42" t="s">
        <v>84</v>
      </c>
      <c r="C20" s="42"/>
      <c r="D20" s="42"/>
      <c r="E20" s="42"/>
      <c r="F20" s="42"/>
      <c r="G20" s="1"/>
    </row>
    <row r="21" spans="1:7" ht="15" customHeight="1" x14ac:dyDescent="0.25">
      <c r="A21" s="1"/>
      <c r="B21" s="31" t="s">
        <v>80</v>
      </c>
      <c r="C21" s="38"/>
      <c r="D21" s="38"/>
      <c r="E21" s="8">
        <f>'Fane 8.2. Engangstillæg'!C13</f>
        <v>0</v>
      </c>
      <c r="F21" s="38" t="s">
        <v>3</v>
      </c>
      <c r="G21" s="1"/>
    </row>
    <row r="22" spans="1:7" ht="15" customHeight="1" x14ac:dyDescent="0.25">
      <c r="A22" s="1"/>
      <c r="B22" s="31" t="s">
        <v>81</v>
      </c>
      <c r="C22" s="38"/>
      <c r="D22" s="38"/>
      <c r="E22" s="8">
        <f>'Fane 8.2. Engangstillæg'!E13</f>
        <v>0</v>
      </c>
      <c r="F22" s="38" t="s">
        <v>3</v>
      </c>
      <c r="G22" s="1"/>
    </row>
    <row r="23" spans="1:7" x14ac:dyDescent="0.25">
      <c r="A23" s="1"/>
      <c r="B23" s="43" t="s">
        <v>85</v>
      </c>
      <c r="C23" s="41"/>
      <c r="D23" s="41"/>
      <c r="E23" s="9">
        <f>SUM(E21:E22)</f>
        <v>0</v>
      </c>
      <c r="F23" s="36" t="s">
        <v>3</v>
      </c>
      <c r="G23" s="1"/>
    </row>
    <row r="24" spans="1:7" x14ac:dyDescent="0.25">
      <c r="A24" s="1"/>
      <c r="B24" s="42" t="s">
        <v>10</v>
      </c>
      <c r="C24" s="42"/>
      <c r="D24" s="42"/>
      <c r="E24" s="42"/>
      <c r="F24" s="42"/>
      <c r="G24" s="1"/>
    </row>
    <row r="25" spans="1:7" ht="15" customHeight="1" x14ac:dyDescent="0.25">
      <c r="A25" s="1"/>
      <c r="B25" s="36" t="s">
        <v>18</v>
      </c>
      <c r="C25" s="36"/>
      <c r="D25" s="36"/>
      <c r="E25" s="9">
        <f>'Fane 11. Hist. over-underdæk.'!G14</f>
        <v>-611205.13492063526</v>
      </c>
      <c r="F25" s="36" t="s">
        <v>3</v>
      </c>
      <c r="G25" s="1"/>
    </row>
    <row r="26" spans="1:7" ht="15" customHeight="1" x14ac:dyDescent="0.25">
      <c r="A26" s="1"/>
      <c r="B26" s="42" t="s">
        <v>147</v>
      </c>
      <c r="C26" s="42"/>
      <c r="D26" s="42"/>
      <c r="E26" s="42"/>
      <c r="F26" s="42"/>
      <c r="G26" s="1"/>
    </row>
    <row r="27" spans="1:7" x14ac:dyDescent="0.25">
      <c r="A27" s="1"/>
      <c r="B27" s="36" t="s">
        <v>148</v>
      </c>
      <c r="C27" s="36"/>
      <c r="D27" s="36"/>
      <c r="E27" s="9">
        <f>'Fane 6. Korrektioner'!E10</f>
        <v>0</v>
      </c>
      <c r="F27" s="36" t="s">
        <v>3</v>
      </c>
      <c r="G27" s="1"/>
    </row>
    <row r="28" spans="1:7" x14ac:dyDescent="0.25">
      <c r="A28" s="1"/>
      <c r="B28" s="42" t="s">
        <v>36</v>
      </c>
      <c r="C28" s="42"/>
      <c r="D28" s="42"/>
      <c r="E28" s="10">
        <f>SUM(E17,E19,E23,E25,E27)</f>
        <v>4783159.0362922354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dfhzB8OS7hA1Hp720rs8G5kwnqXs3foV2im3smhpBcryuw3cPv1MzJitp6vcPyC80h1VKdRqCvsV3WFary4g8g==" saltValue="jYQEzfTN8ZTyVuFpOaFeU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73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ht="15" customHeight="1" x14ac:dyDescent="0.25">
      <c r="A9" s="1"/>
      <c r="B9" s="38" t="s">
        <v>37</v>
      </c>
      <c r="C9" s="38"/>
      <c r="D9" s="38"/>
      <c r="E9" s="7">
        <f>'Fane 2.1. Økonomisk ramme 2020'!E17</f>
        <v>3402468.1219021203</v>
      </c>
      <c r="F9" s="38" t="s">
        <v>3</v>
      </c>
      <c r="G9" s="1"/>
    </row>
    <row r="10" spans="1:7" ht="15" customHeight="1" x14ac:dyDescent="0.25">
      <c r="A10" s="1"/>
      <c r="B10" s="38" t="s">
        <v>161</v>
      </c>
      <c r="C10" s="38"/>
      <c r="D10" s="38"/>
      <c r="E10" s="7">
        <v>34816.159636430675</v>
      </c>
      <c r="F10" s="38" t="s">
        <v>3</v>
      </c>
      <c r="G10" s="1"/>
    </row>
    <row r="11" spans="1:7" ht="15" customHeight="1" x14ac:dyDescent="0.25">
      <c r="A11" s="1"/>
      <c r="B11" s="31" t="s">
        <v>144</v>
      </c>
      <c r="C11" s="38"/>
      <c r="D11" s="38"/>
      <c r="E11" s="7">
        <f>-('Fane 10. Bortfald'!C18+'Fane 10. Bortfald'!E18)</f>
        <v>0</v>
      </c>
      <c r="F11" s="38" t="s">
        <v>3</v>
      </c>
      <c r="G11" s="1"/>
    </row>
    <row r="12" spans="1:7" ht="15" customHeight="1" x14ac:dyDescent="0.25">
      <c r="A12" s="1"/>
      <c r="B12" s="39" t="s">
        <v>26</v>
      </c>
      <c r="C12" s="38"/>
      <c r="D12" s="38"/>
      <c r="E12" s="8">
        <f>SUM(E9:E11)*'Fane 12. Nøgletal'!C12</f>
        <v>67714.500346309447</v>
      </c>
      <c r="F12" s="38" t="s">
        <v>3</v>
      </c>
      <c r="G12" s="1"/>
    </row>
    <row r="13" spans="1:7" ht="15" customHeight="1" x14ac:dyDescent="0.25">
      <c r="A13" s="1"/>
      <c r="B13" s="39" t="s">
        <v>115</v>
      </c>
      <c r="C13" s="38"/>
      <c r="D13" s="38"/>
      <c r="E13" s="8">
        <f>-SUM(E9:E12)*'Fane 12. Nøgletal'!C17</f>
        <v>-59584.979292042626</v>
      </c>
      <c r="F13" s="38" t="s">
        <v>3</v>
      </c>
      <c r="G13" s="1"/>
    </row>
    <row r="14" spans="1:7" ht="15" customHeight="1" x14ac:dyDescent="0.25">
      <c r="A14" s="1"/>
      <c r="B14" s="41" t="s">
        <v>28</v>
      </c>
      <c r="C14" s="41"/>
      <c r="D14" s="41"/>
      <c r="E14" s="9">
        <f>SUM(E9:E13)</f>
        <v>3445413.8025928177</v>
      </c>
      <c r="F14" s="36" t="s">
        <v>3</v>
      </c>
      <c r="G14" s="1"/>
    </row>
    <row r="15" spans="1:7" x14ac:dyDescent="0.25">
      <c r="A15" s="1"/>
      <c r="B15" s="42" t="s">
        <v>16</v>
      </c>
      <c r="C15" s="42"/>
      <c r="D15" s="42"/>
      <c r="E15" s="42"/>
      <c r="F15" s="42"/>
      <c r="G15" s="1"/>
    </row>
    <row r="16" spans="1:7" ht="15" customHeight="1" x14ac:dyDescent="0.25">
      <c r="A16" s="1"/>
      <c r="B16" s="36" t="s">
        <v>16</v>
      </c>
      <c r="C16" s="36"/>
      <c r="D16" s="36"/>
      <c r="E16" s="9">
        <f>'Fane 4. Ikke-påvirkelige omk.'!C13*(1+'Fane 12. Nøgletal'!C12)</f>
        <v>2031136.4014821721</v>
      </c>
      <c r="F16" s="36" t="s">
        <v>3</v>
      </c>
      <c r="G16" s="1"/>
    </row>
    <row r="17" spans="1:7" ht="15" customHeight="1" x14ac:dyDescent="0.25">
      <c r="A17" s="1"/>
      <c r="B17" s="42" t="s">
        <v>84</v>
      </c>
      <c r="C17" s="42"/>
      <c r="D17" s="42"/>
      <c r="E17" s="42"/>
      <c r="F17" s="42"/>
      <c r="G17" s="1"/>
    </row>
    <row r="18" spans="1:7" ht="15" customHeight="1" x14ac:dyDescent="0.25">
      <c r="A18" s="1"/>
      <c r="B18" s="31" t="s">
        <v>80</v>
      </c>
      <c r="C18" s="38"/>
      <c r="D18" s="38"/>
      <c r="E18" s="8">
        <f>'Fane 8.2. Engangstillæg'!C20</f>
        <v>0</v>
      </c>
      <c r="F18" s="38" t="s">
        <v>3</v>
      </c>
      <c r="G18" s="1"/>
    </row>
    <row r="19" spans="1:7" ht="15" customHeight="1" x14ac:dyDescent="0.25">
      <c r="A19" s="1"/>
      <c r="B19" s="31" t="s">
        <v>81</v>
      </c>
      <c r="C19" s="38"/>
      <c r="D19" s="38"/>
      <c r="E19" s="8">
        <f>'Fane 8.2. Engangstillæg'!E20</f>
        <v>0</v>
      </c>
      <c r="F19" s="38" t="s">
        <v>3</v>
      </c>
      <c r="G19" s="1"/>
    </row>
    <row r="20" spans="1:7" ht="15" customHeight="1" x14ac:dyDescent="0.25">
      <c r="A20" s="1"/>
      <c r="B20" s="43" t="s">
        <v>85</v>
      </c>
      <c r="C20" s="41"/>
      <c r="D20" s="41"/>
      <c r="E20" s="9">
        <f>SUM(E18:E19)</f>
        <v>0</v>
      </c>
      <c r="F20" s="36" t="s">
        <v>3</v>
      </c>
      <c r="G20" s="1"/>
    </row>
    <row r="21" spans="1:7" x14ac:dyDescent="0.25">
      <c r="A21" s="1"/>
      <c r="B21" s="42" t="s">
        <v>95</v>
      </c>
      <c r="C21" s="42"/>
      <c r="D21" s="42"/>
      <c r="E21" s="42"/>
      <c r="F21" s="42"/>
      <c r="G21" s="1"/>
    </row>
    <row r="22" spans="1:7" ht="15" customHeight="1" x14ac:dyDescent="0.25">
      <c r="A22" s="1"/>
      <c r="B22" s="36" t="s">
        <v>131</v>
      </c>
      <c r="C22" s="36"/>
      <c r="D22" s="36"/>
      <c r="E22" s="9">
        <f>'Fane 5. Kontrol af ØR2018'!E35</f>
        <v>-219072.51553276318</v>
      </c>
      <c r="F22" s="36" t="s">
        <v>3</v>
      </c>
      <c r="G22" s="1"/>
    </row>
    <row r="23" spans="1:7" x14ac:dyDescent="0.25">
      <c r="A23" s="1"/>
      <c r="B23" s="42" t="s">
        <v>39</v>
      </c>
      <c r="C23" s="42"/>
      <c r="D23" s="42"/>
      <c r="E23" s="10">
        <f>SUM(E14,E16,E20,E22)</f>
        <v>5257477.6885422273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Y4OsL9+7EbC82YgcWfuKFAMtnKe+Dkig0oVOQzAj+QxX7BhQpuYeoQE4zAEvm8MqtUmI74HXaxVEOQgM23Rm1Q==" saltValue="FBOPHhNRbuty2CxGAFJZw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37</v>
      </c>
      <c r="C8" s="38"/>
      <c r="D8" s="38"/>
      <c r="E8" s="7">
        <f>'Fane 2.2. Økonomisk ramme 2021'!E14</f>
        <v>3445413.8025928177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Bortfald'!C24+'Fane 10. Bortfald'!E24)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SUM(E8:E9)*'Fane 12. Nøgletal'!C12</f>
        <v>67874.651911078501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-59725.903726566241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3453562.5507773301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omk.'!C13*(1+'Fane 12. Nøgletal'!C12)^2</f>
        <v>2071149.7885913707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Engangstillæg'!C27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Engangstillæg'!E27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2.2. Økonomisk ramme 2021'!E22</f>
        <v>-219072.51553276318</v>
      </c>
      <c r="F20" s="36" t="s">
        <v>3</v>
      </c>
      <c r="G20" s="1"/>
    </row>
    <row r="21" spans="1:7" x14ac:dyDescent="0.25">
      <c r="A21" s="1"/>
      <c r="B21" s="42" t="s">
        <v>40</v>
      </c>
      <c r="C21" s="42"/>
      <c r="D21" s="42"/>
      <c r="E21" s="10">
        <f>SUM(E12,E14,E18,E20)</f>
        <v>5305639.8238359382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6ZHh1ZlYjQE2iDsBk/3uBEbOWI6kPWZesUCbRrGO7MH8kds0EMST1EXWI5GVqZhAXz1Ga2kkxWT3YyZXu2m7Zg==" saltValue="w6clz5Xpsa/ycRhX9Z9GD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145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38</v>
      </c>
      <c r="C8" s="38"/>
      <c r="D8" s="38"/>
      <c r="E8" s="7">
        <f>'Fane 2.3. Økonomisk ramme 2022'!E12</f>
        <v>3453562.5507773301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Bortfald'!C30+'Fane 10. Bortfald'!E30)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E8*'Fane 12. Nøgletal'!C12</f>
        <v>68035.182250313403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-59867.161461469943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3461730.5715661738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omk.'!C13*(1+'Fane 12. Nøgletal'!C12)^3</f>
        <v>2111951.4394266205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Engangstillæg'!C34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Engangstillæg'!E34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2.3. Økonomisk ramme 2022'!E20</f>
        <v>-219072.51553276318</v>
      </c>
      <c r="F20" s="36" t="s">
        <v>3</v>
      </c>
      <c r="G20" s="1"/>
    </row>
    <row r="21" spans="1:7" x14ac:dyDescent="0.25">
      <c r="A21" s="1"/>
      <c r="B21" s="42" t="s">
        <v>89</v>
      </c>
      <c r="C21" s="42"/>
      <c r="D21" s="42"/>
      <c r="E21" s="10">
        <f>SUM(E12,E14,E18,E20)</f>
        <v>5354609.4954600316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2XbDjWZLMIMKoHmFSLE1nzFzCh6Ko5RqC6oWbpsY+Qe4KmEkalBPoZkv34MHmAxiIR4znCK86PLUIoefTcmLIA==" saltValue="621HvJ/EeaAjGKGFePtSa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138</v>
      </c>
      <c r="C3" s="71"/>
      <c r="D3" s="71"/>
      <c r="E3" s="71"/>
      <c r="F3" s="71"/>
      <c r="G3" s="1"/>
    </row>
    <row r="4" spans="1:7" ht="29.2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72</v>
      </c>
      <c r="C8" s="42"/>
      <c r="D8" s="42"/>
      <c r="E8" s="42"/>
      <c r="F8" s="42"/>
      <c r="G8" s="1"/>
    </row>
    <row r="9" spans="1:7" x14ac:dyDescent="0.25">
      <c r="A9" s="1"/>
      <c r="B9" s="72" t="s">
        <v>70</v>
      </c>
      <c r="C9" s="72"/>
      <c r="D9" s="72"/>
      <c r="E9" s="7">
        <v>3433407.9571900573</v>
      </c>
      <c r="F9" s="38" t="s">
        <v>3</v>
      </c>
      <c r="G9" s="1"/>
    </row>
    <row r="10" spans="1:7" x14ac:dyDescent="0.25">
      <c r="A10" s="1"/>
      <c r="B10" s="74" t="s">
        <v>140</v>
      </c>
      <c r="C10" s="74"/>
      <c r="D10" s="74"/>
      <c r="E10" s="7">
        <v>0</v>
      </c>
      <c r="F10" s="38" t="s">
        <v>3</v>
      </c>
      <c r="G10" s="1"/>
    </row>
    <row r="11" spans="1:7" x14ac:dyDescent="0.25">
      <c r="A11" s="1"/>
      <c r="B11" s="73" t="s">
        <v>141</v>
      </c>
      <c r="C11" s="73"/>
      <c r="D11" s="73"/>
      <c r="E11" s="7">
        <v>0</v>
      </c>
      <c r="F11" s="38" t="s">
        <v>3</v>
      </c>
      <c r="G11" s="1"/>
    </row>
    <row r="12" spans="1:7" x14ac:dyDescent="0.25">
      <c r="A12" s="1"/>
      <c r="B12" s="73" t="s">
        <v>142</v>
      </c>
      <c r="C12" s="73"/>
      <c r="D12" s="73"/>
      <c r="E12" s="8">
        <v>0</v>
      </c>
      <c r="F12" s="38" t="s">
        <v>3</v>
      </c>
      <c r="G12" s="1"/>
    </row>
    <row r="13" spans="1:7" x14ac:dyDescent="0.25">
      <c r="A13" s="1"/>
      <c r="B13" s="73" t="s">
        <v>26</v>
      </c>
      <c r="C13" s="73"/>
      <c r="D13" s="73"/>
      <c r="E13" s="8">
        <f>(SUM(E9:E9)-SUM(E10:E10))*'Fane 12. Nøgletal'!C9+SUM(E10:E10)*'Fane 12. Nøgletal'!C10+SUM(E11:E12)*'Fane 12. Nøgletal'!C11</f>
        <v>43604.281056313725</v>
      </c>
      <c r="F13" s="38" t="s">
        <v>3</v>
      </c>
      <c r="G13" s="1"/>
    </row>
    <row r="14" spans="1:7" x14ac:dyDescent="0.25">
      <c r="A14" s="1"/>
      <c r="B14" s="73" t="s">
        <v>115</v>
      </c>
      <c r="C14" s="73"/>
      <c r="D14" s="73"/>
      <c r="E14" s="8">
        <f>-SUM(E9:E9,E11:E13)*'Fane 12. Nøgletal'!C17</f>
        <v>-59109.20805018831</v>
      </c>
      <c r="F14" s="38" t="s">
        <v>3</v>
      </c>
      <c r="G14" s="1"/>
    </row>
    <row r="15" spans="1:7" x14ac:dyDescent="0.25">
      <c r="A15" s="1"/>
      <c r="B15" s="75" t="s">
        <v>28</v>
      </c>
      <c r="C15" s="75"/>
      <c r="D15" s="75"/>
      <c r="E15" s="9">
        <f>SUM(E9,E11:E14)</f>
        <v>3417903.0301961829</v>
      </c>
      <c r="F15" s="36" t="s">
        <v>3</v>
      </c>
      <c r="G15" s="1"/>
    </row>
    <row r="16" spans="1:7" x14ac:dyDescent="0.25">
      <c r="A16" s="1"/>
      <c r="B16" s="76" t="s">
        <v>16</v>
      </c>
      <c r="C16" s="76"/>
      <c r="D16" s="76"/>
      <c r="E16" s="42"/>
      <c r="F16" s="42"/>
      <c r="G16" s="1"/>
    </row>
    <row r="17" spans="1:7" x14ac:dyDescent="0.25">
      <c r="A17" s="1"/>
      <c r="B17" s="70" t="s">
        <v>16</v>
      </c>
      <c r="C17" s="70"/>
      <c r="D17" s="70"/>
      <c r="E17" s="9">
        <v>1918181.2386119396</v>
      </c>
      <c r="F17" s="36" t="s">
        <v>3</v>
      </c>
      <c r="G17" s="1"/>
    </row>
    <row r="18" spans="1:7" x14ac:dyDescent="0.25">
      <c r="A18" s="1"/>
      <c r="B18" s="42" t="s">
        <v>71</v>
      </c>
      <c r="C18" s="42"/>
      <c r="D18" s="42"/>
      <c r="E18" s="42"/>
      <c r="F18" s="42"/>
      <c r="G18" s="1"/>
    </row>
    <row r="19" spans="1:7" ht="27" customHeight="1" x14ac:dyDescent="0.25">
      <c r="A19" s="1"/>
      <c r="B19" s="69" t="s">
        <v>74</v>
      </c>
      <c r="C19" s="69"/>
      <c r="D19" s="69"/>
      <c r="E19" s="9">
        <v>10899.255758902904</v>
      </c>
      <c r="F19" s="36" t="s">
        <v>3</v>
      </c>
      <c r="G19" s="1"/>
    </row>
    <row r="20" spans="1:7" x14ac:dyDescent="0.25">
      <c r="A20" s="1"/>
      <c r="B20" s="42" t="s">
        <v>10</v>
      </c>
      <c r="C20" s="42"/>
      <c r="D20" s="42"/>
      <c r="E20" s="42"/>
      <c r="F20" s="42"/>
      <c r="G20" s="1"/>
    </row>
    <row r="21" spans="1:7" x14ac:dyDescent="0.25">
      <c r="A21" s="1"/>
      <c r="B21" s="70" t="s">
        <v>18</v>
      </c>
      <c r="C21" s="70"/>
      <c r="D21" s="70"/>
      <c r="E21" s="9">
        <v>-611206</v>
      </c>
      <c r="F21" s="36" t="s">
        <v>3</v>
      </c>
      <c r="G21" s="1"/>
    </row>
    <row r="22" spans="1:7" x14ac:dyDescent="0.25">
      <c r="A22" s="1"/>
      <c r="B22" s="42" t="s">
        <v>23</v>
      </c>
      <c r="C22" s="42"/>
      <c r="D22" s="42"/>
      <c r="E22" s="10">
        <f>SUM(E21,E19,E17,E15)</f>
        <v>4735777.5245670248</v>
      </c>
      <c r="F22" s="11" t="s">
        <v>3</v>
      </c>
      <c r="G22" s="1"/>
    </row>
    <row r="23" spans="1:7" ht="28.5" customHeight="1" x14ac:dyDescent="0.25">
      <c r="A23" s="1"/>
      <c r="B23" s="68" t="s">
        <v>118</v>
      </c>
      <c r="C23" s="68"/>
      <c r="D23" s="68"/>
      <c r="E23" s="68"/>
      <c r="F23" s="68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QopDlA/uhyMTSWyA/DIWwnR/b0HMGo/D55qdBM+3SMcLeZaTUnAT0vUh2w5KGMrZjIhs8H0r6a5IQt6NG0z4Vg==" saltValue="LDo8mOTdsTcihnk5i1kf/g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6" t="s">
        <v>110</v>
      </c>
      <c r="C3" s="66"/>
      <c r="D3" s="66"/>
      <c r="E3" s="1"/>
      <c r="F3" s="1"/>
    </row>
    <row r="4" spans="1:6" ht="15" customHeight="1" x14ac:dyDescent="0.25">
      <c r="A4" s="1"/>
      <c r="B4" s="66"/>
      <c r="C4" s="66"/>
      <c r="D4" s="6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7" t="s">
        <v>58</v>
      </c>
      <c r="C8" s="78"/>
      <c r="D8" s="79"/>
      <c r="E8" s="1"/>
      <c r="F8" s="1"/>
    </row>
    <row r="9" spans="1:6" ht="15" customHeight="1" x14ac:dyDescent="0.25">
      <c r="A9" s="1"/>
      <c r="B9" s="19" t="s">
        <v>43</v>
      </c>
      <c r="C9" s="36" t="s">
        <v>59</v>
      </c>
      <c r="D9" s="36"/>
      <c r="E9" s="1"/>
      <c r="F9" s="1"/>
    </row>
    <row r="10" spans="1:6" x14ac:dyDescent="0.25">
      <c r="A10" s="1"/>
      <c r="B10" s="30" t="s">
        <v>158</v>
      </c>
      <c r="C10" s="8">
        <v>1911833</v>
      </c>
      <c r="D10" s="12" t="s">
        <v>3</v>
      </c>
      <c r="E10" s="1"/>
      <c r="F10" s="1"/>
    </row>
    <row r="11" spans="1:6" x14ac:dyDescent="0.25">
      <c r="A11" s="1"/>
      <c r="B11" s="30" t="s">
        <v>159</v>
      </c>
      <c r="C11" s="8">
        <v>3842</v>
      </c>
      <c r="D11" s="12" t="s">
        <v>3</v>
      </c>
      <c r="E11" s="1"/>
      <c r="F11" s="1"/>
    </row>
    <row r="12" spans="1:6" x14ac:dyDescent="0.25">
      <c r="A12" s="1"/>
      <c r="B12" s="46" t="s">
        <v>60</v>
      </c>
      <c r="C12" s="10">
        <f>SUM(C10:C11)</f>
        <v>1915675</v>
      </c>
      <c r="D12" s="11" t="s">
        <v>3</v>
      </c>
      <c r="E12" s="1"/>
      <c r="F12" s="1"/>
    </row>
    <row r="13" spans="1:6" x14ac:dyDescent="0.25">
      <c r="A13" s="1"/>
      <c r="B13" s="46" t="s">
        <v>61</v>
      </c>
      <c r="C13" s="10">
        <f>C12*(1+'Fane 12. Nøgletal'!C12)^2</f>
        <v>1991896.0493107501</v>
      </c>
      <c r="D13" s="11" t="s">
        <v>3</v>
      </c>
      <c r="E13" s="1"/>
      <c r="F13" s="1"/>
    </row>
    <row r="14" spans="1:6" x14ac:dyDescent="0.25">
      <c r="A14" s="1"/>
      <c r="B14" s="14"/>
      <c r="C14" s="13"/>
      <c r="D14" s="13"/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heetProtection algorithmName="SHA-512" hashValue="XLfElN+yK7wL/FO9h9+xCZfT0gUu1WpQ2ppI4YCZm4DVwSqv06s+kIp8hhZ8X1V8sUHjvgrGqJXKfeoc1m7m8Q==" saltValue="XGVHAA2a6X/osjAS0KQmYQ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119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ht="15" customHeight="1" x14ac:dyDescent="0.25">
      <c r="A5" s="1"/>
      <c r="B5" s="37"/>
      <c r="C5" s="37"/>
      <c r="D5" s="37"/>
      <c r="E5" s="37"/>
      <c r="F5" s="37"/>
      <c r="G5" s="1"/>
    </row>
    <row r="6" spans="1:7" ht="15" customHeight="1" x14ac:dyDescent="0.25">
      <c r="A6" s="1"/>
      <c r="B6" s="80" t="s">
        <v>47</v>
      </c>
      <c r="C6" s="80"/>
      <c r="D6" s="80"/>
      <c r="E6" s="80"/>
      <c r="F6" s="80"/>
      <c r="G6" s="1"/>
    </row>
    <row r="7" spans="1:7" ht="15" customHeight="1" x14ac:dyDescent="0.25">
      <c r="A7" s="1"/>
      <c r="B7" s="81" t="s">
        <v>45</v>
      </c>
      <c r="C7" s="81"/>
      <c r="D7" s="81"/>
      <c r="E7" s="8">
        <v>-116080.27333333333</v>
      </c>
      <c r="F7" s="12" t="s">
        <v>3</v>
      </c>
      <c r="G7" s="1"/>
    </row>
    <row r="8" spans="1:7" ht="15" customHeight="1" x14ac:dyDescent="0.25">
      <c r="A8" s="1"/>
      <c r="B8" s="81" t="s">
        <v>46</v>
      </c>
      <c r="C8" s="81"/>
      <c r="D8" s="81"/>
      <c r="E8" s="8">
        <v>-68079.99136746116</v>
      </c>
      <c r="F8" s="12" t="s">
        <v>3</v>
      </c>
      <c r="G8" s="1"/>
    </row>
    <row r="9" spans="1:7" ht="15" customHeight="1" x14ac:dyDescent="0.25">
      <c r="A9" s="1"/>
      <c r="B9" s="83" t="s">
        <v>129</v>
      </c>
      <c r="C9" s="84"/>
      <c r="D9" s="85"/>
      <c r="E9" s="9">
        <f>SUM(E7:E8)</f>
        <v>-184160.26470079448</v>
      </c>
      <c r="F9" s="15" t="s">
        <v>3</v>
      </c>
      <c r="G9" s="1"/>
    </row>
    <row r="10" spans="1:7" ht="15" customHeight="1" x14ac:dyDescent="0.25">
      <c r="A10" s="1"/>
      <c r="B10" s="77"/>
      <c r="C10" s="78"/>
      <c r="D10" s="78"/>
      <c r="E10" s="78"/>
      <c r="F10" s="79"/>
      <c r="G10" s="1"/>
    </row>
    <row r="11" spans="1:7" ht="27" customHeight="1" x14ac:dyDescent="0.25">
      <c r="A11" s="1"/>
      <c r="B11" s="68" t="s">
        <v>113</v>
      </c>
      <c r="C11" s="68"/>
      <c r="D11" s="68"/>
      <c r="E11" s="68"/>
      <c r="F11" s="6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0" t="s">
        <v>99</v>
      </c>
      <c r="C14" s="80"/>
      <c r="D14" s="80"/>
      <c r="E14" s="80"/>
      <c r="F14" s="80"/>
      <c r="G14" s="1"/>
    </row>
    <row r="15" spans="1:7" x14ac:dyDescent="0.25">
      <c r="A15" s="1"/>
      <c r="B15" s="81" t="s">
        <v>100</v>
      </c>
      <c r="C15" s="81"/>
      <c r="D15" s="81"/>
      <c r="E15" s="8">
        <v>5618070.9269910166</v>
      </c>
      <c r="F15" s="12" t="s">
        <v>3</v>
      </c>
      <c r="G15" s="1"/>
    </row>
    <row r="16" spans="1:7" x14ac:dyDescent="0.25">
      <c r="A16" s="1"/>
      <c r="B16" s="81" t="s">
        <v>101</v>
      </c>
      <c r="C16" s="81"/>
      <c r="D16" s="81"/>
      <c r="E16" s="8">
        <v>5457048</v>
      </c>
      <c r="F16" s="12" t="s">
        <v>3</v>
      </c>
      <c r="G16" s="1"/>
    </row>
    <row r="17" spans="1:7" x14ac:dyDescent="0.25">
      <c r="A17" s="1"/>
      <c r="B17" s="81" t="s">
        <v>44</v>
      </c>
      <c r="C17" s="81"/>
      <c r="D17" s="81"/>
      <c r="E17" s="8">
        <v>0</v>
      </c>
      <c r="F17" s="12" t="s">
        <v>3</v>
      </c>
      <c r="G17" s="1"/>
    </row>
    <row r="18" spans="1:7" x14ac:dyDescent="0.25">
      <c r="A18" s="1"/>
      <c r="B18" s="82" t="s">
        <v>130</v>
      </c>
      <c r="C18" s="82"/>
      <c r="D18" s="82"/>
      <c r="E18" s="9">
        <f>E15-(E16-E17)</f>
        <v>161022.9269910166</v>
      </c>
      <c r="F18" s="15" t="s">
        <v>3</v>
      </c>
      <c r="G18" s="1"/>
    </row>
    <row r="19" spans="1:7" x14ac:dyDescent="0.25">
      <c r="A19" s="1"/>
      <c r="B19" s="86"/>
      <c r="C19" s="87"/>
      <c r="D19" s="87"/>
      <c r="E19" s="87"/>
      <c r="F19" s="88"/>
      <c r="G19" s="1"/>
    </row>
    <row r="20" spans="1:7" ht="28.5" customHeight="1" x14ac:dyDescent="0.25">
      <c r="A20" s="1"/>
      <c r="B20" s="68" t="s">
        <v>112</v>
      </c>
      <c r="C20" s="68"/>
      <c r="D20" s="68"/>
      <c r="E20" s="68"/>
      <c r="F20" s="6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0" t="s">
        <v>66</v>
      </c>
      <c r="C23" s="80"/>
      <c r="D23" s="80"/>
      <c r="E23" s="80"/>
      <c r="F23" s="80"/>
      <c r="G23" s="1"/>
    </row>
    <row r="24" spans="1:7" x14ac:dyDescent="0.25">
      <c r="A24" s="1"/>
      <c r="B24" s="81" t="s">
        <v>67</v>
      </c>
      <c r="C24" s="81"/>
      <c r="D24" s="81"/>
      <c r="E24" s="8">
        <v>4681779.2755787252</v>
      </c>
      <c r="F24" s="12" t="s">
        <v>3</v>
      </c>
      <c r="G24" s="1"/>
    </row>
    <row r="25" spans="1:7" x14ac:dyDescent="0.25">
      <c r="A25" s="1"/>
      <c r="B25" s="81" t="s">
        <v>68</v>
      </c>
      <c r="C25" s="81"/>
      <c r="D25" s="81"/>
      <c r="E25" s="8">
        <v>5534932</v>
      </c>
      <c r="F25" s="12" t="s">
        <v>3</v>
      </c>
      <c r="G25" s="1"/>
    </row>
    <row r="26" spans="1:7" x14ac:dyDescent="0.25">
      <c r="A26" s="1"/>
      <c r="B26" s="81" t="s">
        <v>44</v>
      </c>
      <c r="C26" s="81"/>
      <c r="D26" s="81"/>
      <c r="E26" s="8">
        <v>0</v>
      </c>
      <c r="F26" s="12" t="s">
        <v>3</v>
      </c>
      <c r="G26" s="1"/>
    </row>
    <row r="27" spans="1:7" x14ac:dyDescent="0.25">
      <c r="A27" s="1"/>
      <c r="B27" s="82" t="s">
        <v>130</v>
      </c>
      <c r="C27" s="82"/>
      <c r="D27" s="82"/>
      <c r="E27" s="9">
        <f>E24-(E25-E26)</f>
        <v>-853152.72442127485</v>
      </c>
      <c r="F27" s="15" t="s">
        <v>3</v>
      </c>
      <c r="G27" s="1"/>
    </row>
    <row r="28" spans="1:7" x14ac:dyDescent="0.25">
      <c r="A28" s="1"/>
      <c r="B28" s="77"/>
      <c r="C28" s="78"/>
      <c r="D28" s="78"/>
      <c r="E28" s="78"/>
      <c r="F28" s="79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0" t="s">
        <v>114</v>
      </c>
      <c r="C31" s="80"/>
      <c r="D31" s="80"/>
      <c r="E31" s="80"/>
      <c r="F31" s="80"/>
      <c r="G31" s="1"/>
    </row>
    <row r="32" spans="1:7" x14ac:dyDescent="0.25">
      <c r="A32" s="1"/>
      <c r="B32" s="74" t="s">
        <v>47</v>
      </c>
      <c r="C32" s="74"/>
      <c r="D32" s="74"/>
      <c r="E32" s="8">
        <f>E9</f>
        <v>-184160.26470079448</v>
      </c>
      <c r="F32" s="12" t="s">
        <v>3</v>
      </c>
      <c r="G32" s="1"/>
    </row>
    <row r="33" spans="1:7" x14ac:dyDescent="0.25">
      <c r="A33" s="1"/>
      <c r="B33" s="74" t="s">
        <v>128</v>
      </c>
      <c r="C33" s="74"/>
      <c r="D33" s="74"/>
      <c r="E33" s="8">
        <f>IF(E18+E27&lt;0,E18+E27,0)</f>
        <v>-692129.79743025824</v>
      </c>
      <c r="F33" s="12" t="s">
        <v>3</v>
      </c>
      <c r="G33" s="1"/>
    </row>
    <row r="34" spans="1:7" x14ac:dyDescent="0.25">
      <c r="A34" s="1"/>
      <c r="B34" s="74" t="s">
        <v>122</v>
      </c>
      <c r="C34" s="74"/>
      <c r="D34" s="74"/>
      <c r="E34" s="8">
        <v>4</v>
      </c>
      <c r="F34" s="12" t="s">
        <v>27</v>
      </c>
      <c r="G34" s="1"/>
    </row>
    <row r="35" spans="1:7" x14ac:dyDescent="0.25">
      <c r="A35" s="1"/>
      <c r="B35" s="82" t="s">
        <v>149</v>
      </c>
      <c r="C35" s="82"/>
      <c r="D35" s="82"/>
      <c r="E35" s="9">
        <f>SUM(E32:E33)/E34</f>
        <v>-219072.51553276318</v>
      </c>
      <c r="F35" s="15" t="s">
        <v>3</v>
      </c>
      <c r="G35" s="1"/>
    </row>
    <row r="36" spans="1:7" x14ac:dyDescent="0.25">
      <c r="A36" s="1"/>
      <c r="B36" s="80"/>
      <c r="C36" s="80"/>
      <c r="D36" s="80"/>
      <c r="E36" s="80"/>
      <c r="F36" s="80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qXa/AU6IcUJ1vNznIxyNOuSupernYOVQv1pV23e+XvU1pbnVGqOCDPMNvctJZ5dP+dNVn1vYLB0vkyz+54s5xg==" saltValue="0sYQlenyltjFj4vmxY6l/A==" spinCount="100000" sheet="1" objects="1" scenarios="1"/>
  <mergeCells count="26"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150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0" t="s">
        <v>94</v>
      </c>
      <c r="C8" s="80"/>
      <c r="D8" s="80"/>
      <c r="E8" s="80"/>
      <c r="F8" s="80"/>
      <c r="G8" s="1"/>
    </row>
    <row r="9" spans="1:7" ht="28.5" customHeight="1" x14ac:dyDescent="0.25">
      <c r="A9" s="1"/>
      <c r="B9" s="69" t="s">
        <v>98</v>
      </c>
      <c r="C9" s="69"/>
      <c r="D9" s="69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6" t="s">
        <v>3</v>
      </c>
      <c r="G9" s="1"/>
    </row>
    <row r="10" spans="1:7" x14ac:dyDescent="0.25">
      <c r="A10" s="1"/>
      <c r="B10" s="42" t="s">
        <v>109</v>
      </c>
      <c r="C10" s="42"/>
      <c r="D10" s="42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sOXummfJPoVM0O0STEvT2aFwZqNuHEzMim8IqlFLJbF226ycmrLDw9Z7PgZfGMa517V8ttiGBggmSDrTM3JtaA==" saltValue="cuAJGswHSVu17kwOpTm3kQ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2019-09-04T18:35:55Z</dcterms:modified>
</cp:coreProperties>
</file>