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Dragør AS (S04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Periodevise driftsomk." sheetId="20" r:id="rId13"/>
    <sheet name="Fane 10. Tilknyttet aktivitet" sheetId="29" r:id="rId14"/>
    <sheet name="Fane 11. Bortfald" sheetId="21" r:id="rId15"/>
    <sheet name="Fane 12. Hist. over-underdæk." sheetId="10" r:id="rId16"/>
    <sheet name="Fane 13. Nøgletal" sheetId="26" r:id="rId17"/>
  </sheets>
  <calcPr calcId="162913"/>
</workbook>
</file>

<file path=xl/calcChain.xml><?xml version="1.0" encoding="utf-8"?>
<calcChain xmlns="http://schemas.openxmlformats.org/spreadsheetml/2006/main">
  <c r="E9" i="20" l="1"/>
  <c r="E15" i="20" l="1"/>
  <c r="E10" i="20"/>
  <c r="E19" i="40" l="1"/>
  <c r="E16" i="40" l="1"/>
  <c r="E12" i="40"/>
  <c r="E11" i="11" l="1"/>
  <c r="E10" i="11"/>
  <c r="E11" i="2" l="1"/>
  <c r="E10" i="2"/>
  <c r="E13" i="27"/>
  <c r="E18" i="27"/>
  <c r="E19" i="27" l="1"/>
  <c r="E11" i="20" l="1"/>
  <c r="E25" i="20" l="1"/>
  <c r="E20" i="20"/>
  <c r="E20" i="40" l="1"/>
  <c r="E29" i="2" s="1"/>
  <c r="E21" i="20" l="1"/>
  <c r="E16" i="22" s="1"/>
  <c r="E16" i="20"/>
  <c r="E18" i="15" s="1"/>
  <c r="E21" i="2"/>
  <c r="E26" i="20" l="1"/>
  <c r="E16" i="23" s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8" i="23" s="1"/>
  <c r="E34" i="39"/>
  <c r="E19" i="23" s="1"/>
  <c r="C27" i="39"/>
  <c r="E18" i="22" s="1"/>
  <c r="E27" i="39"/>
  <c r="E19" i="22" s="1"/>
  <c r="E20" i="39"/>
  <c r="E21" i="15" s="1"/>
  <c r="C20" i="39"/>
  <c r="E20" i="15" s="1"/>
  <c r="E20" i="23" l="1"/>
  <c r="E13" i="39"/>
  <c r="E24" i="2" s="1"/>
  <c r="E20" i="22"/>
  <c r="C13" i="39"/>
  <c r="E23" i="2" s="1"/>
  <c r="G12" i="10"/>
  <c r="G14" i="10" s="1"/>
  <c r="E22" i="15" l="1"/>
  <c r="E25" i="2"/>
  <c r="E14" i="27" l="1"/>
  <c r="E15" i="27" s="1"/>
  <c r="E9" i="2" s="1"/>
  <c r="E26" i="27" l="1"/>
  <c r="E27" i="32"/>
  <c r="E33" i="32" s="1"/>
  <c r="E35" i="32" s="1"/>
  <c r="E24" i="15" l="1"/>
  <c r="E22" i="22" s="1"/>
  <c r="E22" i="23" l="1"/>
  <c r="F12" i="11"/>
  <c r="C10" i="37" s="1"/>
  <c r="C11" i="37" s="1"/>
  <c r="C12" i="37" s="1"/>
  <c r="G12" i="11"/>
  <c r="E11" i="21" l="1"/>
  <c r="C11" i="21"/>
  <c r="E11" i="29"/>
  <c r="C11" i="29"/>
  <c r="C13" i="19"/>
  <c r="C14" i="19" s="1"/>
  <c r="C12" i="21" l="1"/>
  <c r="E12" i="21"/>
  <c r="C12" i="29"/>
  <c r="E12" i="29"/>
  <c r="E14" i="23"/>
  <c r="E14" i="22"/>
  <c r="E19" i="2"/>
  <c r="E16" i="15"/>
  <c r="E14" i="2" l="1"/>
  <c r="E13" i="2"/>
  <c r="E12" i="11" l="1"/>
  <c r="E10" i="37" s="1"/>
  <c r="E11" i="37" s="1"/>
  <c r="E12" i="37" s="1"/>
  <c r="E12" i="2" s="1"/>
  <c r="E15" i="2" s="1"/>
  <c r="E27" i="2"/>
  <c r="E16" i="2" l="1"/>
  <c r="E17" i="2" s="1"/>
  <c r="E30" i="2" l="1"/>
  <c r="E9" i="15"/>
  <c r="E12" i="15" s="1"/>
  <c r="E13" i="15" s="1"/>
  <c r="E14" i="15" s="1"/>
  <c r="E25" i="15" l="1"/>
  <c r="E8" i="22"/>
  <c r="E10" i="22" s="1"/>
  <c r="E11" i="22" l="1"/>
  <c r="E12" i="22" s="1"/>
  <c r="E23" i="22" s="1"/>
  <c r="E8" i="23" l="1"/>
  <c r="E10" i="23" s="1"/>
  <c r="E11" i="23" l="1"/>
  <c r="E12" i="23" s="1"/>
  <c r="E23" i="23" s="1"/>
</calcChain>
</file>

<file path=xl/sharedStrings.xml><?xml version="1.0" encoding="utf-8"?>
<sst xmlns="http://schemas.openxmlformats.org/spreadsheetml/2006/main" count="510" uniqueCount="196">
  <si>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</si>
  <si>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</si>
  <si>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</si>
  <si>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</si>
  <si>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</si>
  <si>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</si>
  <si>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</si>
  <si>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</si>
  <si>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</si>
  <si>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</si>
  <si>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</si>
  <si>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</si>
  <si>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</si>
  <si>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</si>
  <si>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</si>
  <si>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</si>
  <si>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</si>
  <si>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</si>
  <si>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</si>
  <si>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</si>
  <si>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</si>
  <si>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</si>
  <si>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</si>
  <si>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</si>
  <si>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</si>
  <si>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</si>
  <si>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</si>
  <si>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</si>
  <si>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</si>
  <si>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</si>
  <si>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</si>
  <si>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</si>
  <si>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</si>
  <si>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</si>
  <si>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</si>
  <si>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</si>
  <si>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</si>
  <si>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</si>
  <si>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</si>
  <si>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</si>
  <si>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</si>
  <si>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</si>
  <si>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</si>
  <si>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</si>
  <si>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</si>
  <si>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</si>
  <si>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</si>
  <si>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</si>
  <si>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</si>
  <si>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</si>
  <si>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</si>
  <si>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</si>
  <si>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</si>
  <si>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</si>
  <si>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</si>
  <si>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</si>
  <si>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</si>
  <si>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</si>
  <si>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</si>
  <si>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</si>
  <si>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</si>
  <si>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</si>
  <si>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</si>
  <si>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</si>
  <si>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</si>
  <si>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</si>
  <si>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</si>
  <si>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</si>
  <si>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</si>
  <si>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</si>
  <si>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</si>
  <si>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</si>
  <si>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</si>
  <si>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</si>
  <si>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</si>
  <si>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</si>
  <si>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</si>
  <si>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</si>
  <si>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</si>
  <si>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</si>
  <si>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</si>
  <si>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</si>
  <si>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</si>
  <si>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</si>
  <si>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</si>
  <si>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</si>
  <si>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</si>
  <si>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</si>
  <si>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</si>
  <si>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</si>
  <si>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</si>
  <si>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</si>
  <si>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</si>
  <si>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</si>
  <si>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</si>
  <si>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</si>
  <si>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</si>
  <si>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</si>
  <si>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</si>
  <si>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</si>
  <si>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</si>
  <si>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</si>
  <si>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</si>
  <si>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</si>
  <si>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</si>
  <si>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</si>
  <si>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</si>
  <si>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</si>
  <si>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</si>
  <si>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</si>
  <si>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</si>
  <si>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</si>
  <si>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</si>
  <si>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</si>
  <si>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</si>
  <si>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</si>
  <si>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</si>
  <si>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</si>
  <si>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</si>
  <si>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</si>
  <si>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</si>
  <si>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</si>
  <si>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</si>
  <si>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</si>
  <si>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Tillæg til tilbagebetaling af vejbidrag</t>
  </si>
  <si>
    <t>Fane 4: Ikke-påvirkelige omkostninger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</si>
  <si>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</si>
  <si>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</si>
  <si>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</si>
  <si>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</si>
  <si>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Tidligere tilknyttet aktivitet</t>
  </si>
  <si>
    <t>Samlede tillæg til periodevise driftsomkostninger jf. indmeldte oprensningsplan</t>
  </si>
  <si>
    <t>Faktisk periodevis driftsomkostning i 2018</t>
  </si>
  <si>
    <t>Difference (Korrektion)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</si>
  <si>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</si>
  <si>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</si>
  <si>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</si>
  <si>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</si>
  <si>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</si>
  <si>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</si>
  <si>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</si>
  <si>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13: Nøgletal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</si>
  <si>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</si>
  <si>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</si>
  <si>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</si>
  <si>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</si>
  <si>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10: Tilknyttet aktivitet under hovedvirksomheden</t>
  </si>
  <si>
    <t>Fane 11: Bortfald eller nedsættelse af omkostninger til mål, medfinansiering eller udvidelse</t>
  </si>
  <si>
    <t>Fane 12: Historisk over- eller underdækning</t>
  </si>
  <si>
    <t>Fane 6</t>
  </si>
  <si>
    <t>Fane 8.1</t>
  </si>
  <si>
    <t>Fane 8.2</t>
  </si>
  <si>
    <t>Fane 11</t>
  </si>
  <si>
    <t>Nøgletal</t>
  </si>
  <si>
    <t>Tidligere godkendt tillæg indregnet i den økonomiske ramme for 2018</t>
  </si>
  <si>
    <t>Faktisk omkostning til medfinansiering af klimatilpasningsprojekter i 2018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</si>
  <si>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</si>
  <si>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</si>
  <si>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</si>
  <si>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</si>
  <si>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Tillæg til medfinansieringsprojekter godkendt under prisloftsbekendtgørelsen</t>
  </si>
  <si>
    <t>Prisudvikling til brug for ØR2017-2020</t>
  </si>
  <si>
    <t xml:space="preserve">Effektiviseringskrav </t>
  </si>
  <si>
    <t>Fane 9: Periodevise driftsomkostninger givet under prisloftsbekendtgørelsen</t>
  </si>
  <si>
    <t>Periodevise driftsomkostninger i den økonomiske ramme for 2019</t>
  </si>
  <si>
    <t>Periodevise driftsomkostninger i alt i 2017-prisniveau</t>
  </si>
  <si>
    <t>Fane 3: Videreførte omkostninger fra den økonomiske ramme for 2019</t>
  </si>
  <si>
    <t>Effektiviseringskrav af periodevise driftsomkostninger</t>
  </si>
  <si>
    <t>Periodevise driftsomkostninger i den økonomiske ramme for 2019 i alt</t>
  </si>
  <si>
    <t xml:space="preserve"> - Heraf nye omkostninger i ØR18</t>
  </si>
  <si>
    <t>Nye tillæg</t>
  </si>
  <si>
    <t>Bortfald eller nedsættelse af omkostninger</t>
  </si>
  <si>
    <t xml:space="preserve"> - Heraf nye omkostninger i ØR19</t>
  </si>
  <si>
    <t>Fane 2.4: Samlet økonomisk ramme for 2023</t>
  </si>
  <si>
    <t>Fane 2.3: Samlet økonomisk ramme for 2022</t>
  </si>
  <si>
    <t>Spildevandsafgift</t>
  </si>
  <si>
    <t>Afgift til Forsyningssekretariatet</t>
  </si>
  <si>
    <t>Ejendomsskatter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</si>
  <si>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</si>
  <si>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</si>
  <si>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</si>
  <si>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</si>
  <si>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</si>
  <si>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</si>
  <si>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</si>
  <si>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</si>
  <si>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</si>
  <si>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</si>
  <si>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Anlægsprojekter igangsat senest 1. marts 2016</t>
  </si>
  <si>
    <t>Pumpestationer i brønde (&lt; 6,25 m2), SRO</t>
  </si>
  <si>
    <t>10</t>
  </si>
  <si>
    <t>Software</t>
  </si>
  <si>
    <t>5</t>
  </si>
  <si>
    <t>Prisfremskrivning til 2017-prisniveau af korrektion af periodevise driftsomkostninger i de økonomiske rammer for 2019</t>
  </si>
  <si>
    <t>Fane 3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</si>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</sst>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3" fontId="8" fillId="0" borderId="1" xfId="0" applyNumberFormat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138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139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76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77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194</v>
      </c>
      <c r="D17" s="48" t="s">
        <v>58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109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149</v>
      </c>
      <c r="D20" s="52" t="s">
        <v>179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83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150</v>
      </c>
      <c r="D22" s="52" t="s">
        <v>84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151</v>
      </c>
      <c r="D23" s="52" t="s">
        <v>85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86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108</v>
      </c>
      <c r="D25" s="52" t="s">
        <v>52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152</v>
      </c>
      <c r="D26" s="52" t="s">
        <v>53</v>
      </c>
      <c r="E26" s="53"/>
      <c r="F26" s="53"/>
      <c r="G26" s="54"/>
      <c r="H26" s="1"/>
      <c r="I26" s="1"/>
    </row>
    <row r="27" spans="1:9" x14ac:dyDescent="0.25">
      <c r="A27" s="1"/>
      <c r="B27" s="1"/>
      <c r="C27" s="6" t="s">
        <v>21</v>
      </c>
      <c r="D27" s="63" t="s">
        <v>10</v>
      </c>
      <c r="E27" s="64"/>
      <c r="F27" s="64"/>
      <c r="G27" s="65"/>
      <c r="H27" s="1"/>
      <c r="I27" s="1"/>
    </row>
    <row r="28" spans="1:9" x14ac:dyDescent="0.25">
      <c r="A28" s="1"/>
      <c r="B28" s="1"/>
      <c r="C28" s="6" t="s">
        <v>54</v>
      </c>
      <c r="D28" s="57" t="s">
        <v>153</v>
      </c>
      <c r="E28" s="58"/>
      <c r="F28" s="58"/>
      <c r="G28" s="59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3nQH5HwrfDbLUeGvF5pkGmqNQnVoN4Va7E6e2jWHcFwlO5mMGDgX1qXsMjie8eGT/vH/Jf+aVqDjvJTEKdC8Og==" saltValue="TCUttuJ67/1DOHdU6JK58w==" spinCount="100000" sheet="1" objects="1" scenarios="1"/>
  <mergeCells count="19">
    <mergeCell ref="D26:G26"/>
    <mergeCell ref="D28:G28"/>
    <mergeCell ref="D18:G18"/>
    <mergeCell ref="D21:G21"/>
    <mergeCell ref="D22:G22"/>
    <mergeCell ref="D25:G25"/>
    <mergeCell ref="D23:G23"/>
    <mergeCell ref="D24:G24"/>
    <mergeCell ref="D20:G20"/>
    <mergeCell ref="D27:G27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5:G25" location="'Fane 10. Tilknyttet aktivitet'!A1" display="Tilknyttet aktivitet"/>
    <hyperlink ref="D26:G26" location="'Fane 11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8:G28" location="'Fane 13. Nøgletal'!A1" display="Nøgletal"/>
    <hyperlink ref="D23:G23" location="'Fane 8.2. Engangstillæg'!A1" display="Engangstillæg"/>
    <hyperlink ref="D24:G24" location="'Fane 9. Periodevise driftsomk.'!A1" display="Periodevise driftsomkostninger"/>
    <hyperlink ref="D27:G27" location="'Fane 12. Hist. over-underdæk.'!A1" display="Historisk over- eller underdækning"/>
    <hyperlink ref="D20" location="'Fane 6. Korrektioner'!A1" display="Korrektion af tidligere rammer"/>
    <hyperlink ref="D17" location="'Fane 3. Omkostninger i ØR2019'!A1" display="Omkostninger i ØR2019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183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184</v>
      </c>
      <c r="C8" s="74"/>
      <c r="D8" s="74"/>
      <c r="E8" s="74"/>
      <c r="F8" s="74"/>
      <c r="G8" s="74"/>
      <c r="H8" s="75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9" t="s">
        <v>2</v>
      </c>
      <c r="F9" s="39" t="s">
        <v>15</v>
      </c>
      <c r="G9" s="39" t="s">
        <v>41</v>
      </c>
      <c r="H9" s="45"/>
      <c r="I9" s="1"/>
    </row>
    <row r="10" spans="1:9" ht="26.25" x14ac:dyDescent="0.25">
      <c r="A10" s="1"/>
      <c r="B10" s="43" t="s">
        <v>189</v>
      </c>
      <c r="C10" s="108" t="s">
        <v>190</v>
      </c>
      <c r="D10" s="8">
        <v>2142069</v>
      </c>
      <c r="E10" s="8">
        <f>IFERROR(D10/C10,0)</f>
        <v>214206.9</v>
      </c>
      <c r="F10" s="8">
        <v>0</v>
      </c>
      <c r="G10" s="8">
        <v>58787</v>
      </c>
      <c r="H10" s="12" t="s">
        <v>3</v>
      </c>
      <c r="I10" s="1"/>
    </row>
    <row r="11" spans="1:9" x14ac:dyDescent="0.25">
      <c r="A11" s="1"/>
      <c r="B11" s="43" t="s">
        <v>191</v>
      </c>
      <c r="C11" s="108" t="s">
        <v>192</v>
      </c>
      <c r="D11" s="8">
        <v>1383902</v>
      </c>
      <c r="E11" s="8">
        <f t="shared" ref="E11" si="0">IFERROR(D11/C11,0)</f>
        <v>276780.40000000002</v>
      </c>
      <c r="F11" s="8">
        <v>0</v>
      </c>
      <c r="G11" s="8">
        <v>37980</v>
      </c>
      <c r="H11" s="12" t="s">
        <v>3</v>
      </c>
      <c r="I11" s="1"/>
    </row>
    <row r="12" spans="1:9" x14ac:dyDescent="0.25">
      <c r="A12" s="1"/>
      <c r="B12" s="73" t="s">
        <v>185</v>
      </c>
      <c r="C12" s="74"/>
      <c r="D12" s="75"/>
      <c r="E12" s="10">
        <f>SUM(E10:E11)</f>
        <v>490987.30000000005</v>
      </c>
      <c r="F12" s="10">
        <f>SUM(F10:F11)</f>
        <v>0</v>
      </c>
      <c r="G12" s="10">
        <f>SUM(G10:G11)</f>
        <v>96767</v>
      </c>
      <c r="H12" s="11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8irs9/uLyanbKUNbXTEKFh5z7ilLAxPxjEdvuhRvMg84gkeNoNXvlG01uwMA324hPHze7koZEKvgzatEJqT4og==" saltValue="F2l/HpoH5w3rrj0Hh2jQFw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80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188</v>
      </c>
      <c r="C10" s="21">
        <f>'Fane 7. Anlægsprojekter'!F12</f>
        <v>0</v>
      </c>
      <c r="D10" s="12" t="s">
        <v>3</v>
      </c>
      <c r="E10" s="8">
        <f>SUM('Fane 7. Anlægsprojekter'!E12,'Fane 7. Anlægsprojekter'!G12)</f>
        <v>587754.30000000005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587754.30000000005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13. Nøgletal'!C12)</f>
        <v>0</v>
      </c>
      <c r="D12" s="11" t="s">
        <v>3</v>
      </c>
      <c r="E12" s="10">
        <f>E11*(1+'Fane 13. Nøgletal'!C12)</f>
        <v>599333.05971000006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mB1wnTuyOnCIOKCfONWmQeOW2S9RkK7/JPld5Zm2Qs/qXT1V7GmQsnUVnnUO0jysLm6ThaWvipPKzUcbLtBvpw==" saltValue="Fifb8Zj2hbtP2L8Msgs9q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144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3" t="s">
        <v>116</v>
      </c>
      <c r="C8" s="74"/>
      <c r="D8" s="74"/>
      <c r="E8" s="74"/>
      <c r="F8" s="75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178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120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137</v>
      </c>
      <c r="C12" s="28">
        <f>-C11*'Fane 13. Nøgletal'!C17</f>
        <v>0</v>
      </c>
      <c r="D12" s="29" t="s">
        <v>3</v>
      </c>
      <c r="E12" s="28">
        <f>-E11*'Fane 13. Nøgletal'!C17</f>
        <v>0</v>
      </c>
      <c r="F12" s="29" t="s">
        <v>3</v>
      </c>
      <c r="G12" s="1"/>
    </row>
    <row r="13" spans="1:7" x14ac:dyDescent="0.25">
      <c r="A13" s="1"/>
      <c r="B13" s="46" t="s">
        <v>121</v>
      </c>
      <c r="C13" s="10">
        <f>SUM(C11:C12)*(1+'Fane 13. Nøgletal'!C12)^2</f>
        <v>0</v>
      </c>
      <c r="D13" s="11" t="s">
        <v>3</v>
      </c>
      <c r="E13" s="10">
        <f>SUM(E11:E12)*(1+'Fane 13.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3" t="s">
        <v>117</v>
      </c>
      <c r="C15" s="74"/>
      <c r="D15" s="74"/>
      <c r="E15" s="74"/>
      <c r="F15" s="75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178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120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137</v>
      </c>
      <c r="C19" s="28">
        <f>-C18*'Fane 13. Nøgletal'!C17</f>
        <v>0</v>
      </c>
      <c r="D19" s="29" t="s">
        <v>3</v>
      </c>
      <c r="E19" s="28">
        <f>-E18*'Fane 13. Nøgletal'!C17</f>
        <v>0</v>
      </c>
      <c r="F19" s="29" t="s">
        <v>3</v>
      </c>
      <c r="G19" s="1"/>
    </row>
    <row r="20" spans="1:7" x14ac:dyDescent="0.25">
      <c r="A20" s="1"/>
      <c r="B20" s="46" t="s">
        <v>122</v>
      </c>
      <c r="C20" s="10">
        <f>SUM(C18:C19)*(1+'Fane 13. Nøgletal'!C12)^3</f>
        <v>0</v>
      </c>
      <c r="D20" s="11" t="s">
        <v>3</v>
      </c>
      <c r="E20" s="10">
        <f>SUM(E18:E19)*(1+'Fane 13.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3" t="s">
        <v>118</v>
      </c>
      <c r="C22" s="74"/>
      <c r="D22" s="74"/>
      <c r="E22" s="74"/>
      <c r="F22" s="75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178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120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137</v>
      </c>
      <c r="C26" s="28">
        <f>-C25*'Fane 13. Nøgletal'!C17</f>
        <v>0</v>
      </c>
      <c r="D26" s="29" t="s">
        <v>3</v>
      </c>
      <c r="E26" s="28">
        <f>-E25*'Fane 13. Nøgletal'!C17</f>
        <v>0</v>
      </c>
      <c r="F26" s="29" t="s">
        <v>3</v>
      </c>
      <c r="G26" s="1"/>
    </row>
    <row r="27" spans="1:7" x14ac:dyDescent="0.25">
      <c r="A27" s="1"/>
      <c r="B27" s="46" t="s">
        <v>122</v>
      </c>
      <c r="C27" s="10">
        <f>SUM(C25:C26)*(1+'Fane 13. Nøgletal'!C12)^4</f>
        <v>0</v>
      </c>
      <c r="D27" s="11" t="s">
        <v>3</v>
      </c>
      <c r="E27" s="10">
        <f>SUM(E25:E26)*(1+'Fane 13.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3" t="s">
        <v>119</v>
      </c>
      <c r="C29" s="74"/>
      <c r="D29" s="74"/>
      <c r="E29" s="74"/>
      <c r="F29" s="75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178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120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137</v>
      </c>
      <c r="C33" s="28">
        <f>-C32*'Fane 13. Nøgletal'!C17</f>
        <v>0</v>
      </c>
      <c r="D33" s="29" t="s">
        <v>3</v>
      </c>
      <c r="E33" s="28">
        <f>-E32*'Fane 13. Nøgletal'!C17</f>
        <v>0</v>
      </c>
      <c r="F33" s="29" t="s">
        <v>3</v>
      </c>
      <c r="G33" s="1"/>
    </row>
    <row r="34" spans="1:7" x14ac:dyDescent="0.25">
      <c r="A34" s="1"/>
      <c r="B34" s="46" t="s">
        <v>122</v>
      </c>
      <c r="C34" s="10">
        <f>SUM(C32:C33)*(1+'Fane 13. Nøgletal'!C12)^5</f>
        <v>0</v>
      </c>
      <c r="D34" s="11" t="s">
        <v>3</v>
      </c>
      <c r="E34" s="10">
        <f>SUM(E32:E33)*(1+'Fane 13.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FLu+XdAOSO3OzhImqdrUq30SXoSKhauhxD7mOF3spmzYj6dRxVrfWWnLphz+jXTomxU9BMYQRI3dWeqxRXyiow==" saltValue="dYTz2rEwhy3zEgkoNqNGY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163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83"/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3" t="s">
        <v>94</v>
      </c>
      <c r="C8" s="74"/>
      <c r="D8" s="74"/>
      <c r="E8" s="74"/>
      <c r="F8" s="75"/>
      <c r="G8" s="1"/>
    </row>
    <row r="9" spans="1:7" x14ac:dyDescent="0.25">
      <c r="A9" s="1"/>
      <c r="B9" s="95" t="s">
        <v>165</v>
      </c>
      <c r="C9" s="96"/>
      <c r="D9" s="97"/>
      <c r="E9" s="8">
        <f>60681.9967/1.0127/1.0127/1.0127</f>
        <v>58427.517286655791</v>
      </c>
      <c r="F9" s="12" t="s">
        <v>3</v>
      </c>
      <c r="G9" s="1"/>
    </row>
    <row r="10" spans="1:7" x14ac:dyDescent="0.25">
      <c r="A10" s="1"/>
      <c r="B10" s="92" t="s">
        <v>137</v>
      </c>
      <c r="C10" s="93"/>
      <c r="D10" s="94"/>
      <c r="E10" s="8">
        <f>-E9*'Fane 13. Nøgletal'!C17</f>
        <v>-993.26779387314855</v>
      </c>
      <c r="F10" s="12" t="s">
        <v>3</v>
      </c>
      <c r="G10" s="1"/>
    </row>
    <row r="11" spans="1:7" x14ac:dyDescent="0.25">
      <c r="A11" s="1"/>
      <c r="B11" s="73" t="s">
        <v>98</v>
      </c>
      <c r="C11" s="74"/>
      <c r="D11" s="75"/>
      <c r="E11" s="10">
        <f>SUM(E9:E10)*(1+'Fane 13. Nøgletal'!C9)^3</f>
        <v>59650.402756100011</v>
      </c>
      <c r="F11" s="11" t="s">
        <v>3</v>
      </c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73" t="s">
        <v>95</v>
      </c>
      <c r="C13" s="74"/>
      <c r="D13" s="74"/>
      <c r="E13" s="74"/>
      <c r="F13" s="75"/>
      <c r="G13" s="1"/>
    </row>
    <row r="14" spans="1:7" x14ac:dyDescent="0.25">
      <c r="A14" s="1"/>
      <c r="B14" s="95" t="s">
        <v>93</v>
      </c>
      <c r="C14" s="96"/>
      <c r="D14" s="97"/>
      <c r="E14" s="8">
        <v>58704.595376342106</v>
      </c>
      <c r="F14" s="12" t="s">
        <v>3</v>
      </c>
      <c r="G14" s="1"/>
    </row>
    <row r="15" spans="1:7" x14ac:dyDescent="0.25">
      <c r="A15" s="1"/>
      <c r="B15" s="92" t="s">
        <v>137</v>
      </c>
      <c r="C15" s="93"/>
      <c r="D15" s="94"/>
      <c r="E15" s="8">
        <f>-E14*'Fane 13. Nøgletal'!C17</f>
        <v>-997.97812139781593</v>
      </c>
      <c r="F15" s="12" t="s">
        <v>3</v>
      </c>
      <c r="G15" s="1"/>
    </row>
    <row r="16" spans="1:7" x14ac:dyDescent="0.25">
      <c r="A16" s="1"/>
      <c r="B16" s="73" t="s">
        <v>99</v>
      </c>
      <c r="C16" s="74"/>
      <c r="D16" s="75"/>
      <c r="E16" s="10">
        <f>SUM(E14:E15)*(1+'Fane 13. Nøgletal'!C12)^3</f>
        <v>61184.705606596399</v>
      </c>
      <c r="F16" s="1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73" t="s">
        <v>96</v>
      </c>
      <c r="C18" s="74"/>
      <c r="D18" s="74"/>
      <c r="E18" s="74"/>
      <c r="F18" s="75"/>
      <c r="G18" s="1"/>
    </row>
    <row r="19" spans="1:7" x14ac:dyDescent="0.25">
      <c r="A19" s="1"/>
      <c r="B19" s="95" t="s">
        <v>93</v>
      </c>
      <c r="C19" s="96"/>
      <c r="D19" s="97"/>
      <c r="E19" s="8">
        <v>58704.595376342106</v>
      </c>
      <c r="F19" s="12" t="s">
        <v>3</v>
      </c>
      <c r="G19" s="1"/>
    </row>
    <row r="20" spans="1:7" x14ac:dyDescent="0.25">
      <c r="A20" s="1"/>
      <c r="B20" s="92" t="s">
        <v>137</v>
      </c>
      <c r="C20" s="93"/>
      <c r="D20" s="94"/>
      <c r="E20" s="8">
        <f>-E19*'Fane 13. Nøgletal'!C17</f>
        <v>-997.97812139781593</v>
      </c>
      <c r="F20" s="12" t="s">
        <v>3</v>
      </c>
      <c r="G20" s="1"/>
    </row>
    <row r="21" spans="1:7" x14ac:dyDescent="0.25">
      <c r="A21" s="1"/>
      <c r="B21" s="73" t="s">
        <v>100</v>
      </c>
      <c r="C21" s="74"/>
      <c r="D21" s="75"/>
      <c r="E21" s="10">
        <f>SUM(E19:E20)*(1+'Fane 13. Nøgletal'!C12)^4</f>
        <v>62390.044307046359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3" t="s">
        <v>97</v>
      </c>
      <c r="C23" s="74"/>
      <c r="D23" s="74"/>
      <c r="E23" s="74"/>
      <c r="F23" s="75"/>
      <c r="G23" s="1"/>
    </row>
    <row r="24" spans="1:7" ht="15" customHeight="1" x14ac:dyDescent="0.25">
      <c r="A24" s="1"/>
      <c r="B24" s="95" t="s">
        <v>93</v>
      </c>
      <c r="C24" s="96"/>
      <c r="D24" s="97"/>
      <c r="E24" s="8">
        <v>58704.595376342106</v>
      </c>
      <c r="F24" s="12" t="s">
        <v>3</v>
      </c>
      <c r="G24" s="1"/>
    </row>
    <row r="25" spans="1:7" x14ac:dyDescent="0.25">
      <c r="A25" s="1"/>
      <c r="B25" s="92" t="s">
        <v>137</v>
      </c>
      <c r="C25" s="93"/>
      <c r="D25" s="94"/>
      <c r="E25" s="8">
        <f>-E24*'Fane 13. Nøgletal'!C17</f>
        <v>-997.97812139781593</v>
      </c>
      <c r="F25" s="12" t="s">
        <v>3</v>
      </c>
      <c r="G25" s="1"/>
    </row>
    <row r="26" spans="1:7" x14ac:dyDescent="0.25">
      <c r="A26" s="1"/>
      <c r="B26" s="73" t="s">
        <v>101</v>
      </c>
      <c r="C26" s="74"/>
      <c r="D26" s="75"/>
      <c r="E26" s="10">
        <f>SUM(E24:E25)*(1+'Fane 13. Nøgletal'!C12)^5</f>
        <v>63619.128179895168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8TSW4OXhOY5QDvMqpdMHtpfy4Ex9cVM6nuvKUfcth2TOcFhAHE5YHKZnL52a9LW2XT4i2QA0kJ1N/ONQLW+FWw==" saltValue="nnbLMn2tktRV/UtrMdik2w==" spinCount="100000" sheet="1" objects="1" scenarios="1"/>
  <mergeCells count="17">
    <mergeCell ref="B16:D16"/>
    <mergeCell ref="B18:F18"/>
    <mergeCell ref="B13:F13"/>
    <mergeCell ref="B26:D26"/>
    <mergeCell ref="B23:F23"/>
    <mergeCell ref="B24:D24"/>
    <mergeCell ref="B21:D21"/>
    <mergeCell ref="B19:D19"/>
    <mergeCell ref="B20:D20"/>
    <mergeCell ref="B25:D25"/>
    <mergeCell ref="B14:D14"/>
    <mergeCell ref="B11:D11"/>
    <mergeCell ref="B10:D10"/>
    <mergeCell ref="B15:D15"/>
    <mergeCell ref="B3:F5"/>
    <mergeCell ref="B8:F8"/>
    <mergeCell ref="B9:D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2.5703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146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3" t="s">
        <v>32</v>
      </c>
      <c r="C8" s="74"/>
      <c r="D8" s="74"/>
      <c r="E8" s="74"/>
      <c r="F8" s="75"/>
      <c r="G8" s="1"/>
    </row>
    <row r="9" spans="1:7" ht="15" customHeight="1" x14ac:dyDescent="0.25">
      <c r="A9" s="1"/>
      <c r="B9" s="44" t="s">
        <v>33</v>
      </c>
      <c r="C9" s="98" t="s">
        <v>15</v>
      </c>
      <c r="D9" s="99"/>
      <c r="E9" s="98" t="s">
        <v>42</v>
      </c>
      <c r="F9" s="99"/>
      <c r="G9" s="1"/>
    </row>
    <row r="10" spans="1:7" x14ac:dyDescent="0.25">
      <c r="A10" s="1"/>
      <c r="B10" s="22" t="s">
        <v>186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66</v>
      </c>
      <c r="C12" s="10">
        <f>C11*(1+'Fane 13. Nøgletal'!C12)</f>
        <v>0</v>
      </c>
      <c r="D12" s="11" t="s">
        <v>3</v>
      </c>
      <c r="E12" s="10">
        <f>E11*(1+'Fane 13.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+Gs5nQvVhBufX73wJdI+GhYgCXMzYtHAT4HOB6rk6UpldhytoNxEJK+8679/G0jg70Lh2+kcXSoNHOK2C1QdUQ==" saltValue="POkbKsNkmbISYUwxVQm/z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147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3" t="s">
        <v>103</v>
      </c>
      <c r="C8" s="74"/>
      <c r="D8" s="74"/>
      <c r="E8" s="74"/>
      <c r="F8" s="75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187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65</v>
      </c>
      <c r="C12" s="10">
        <f>C11*(1+'Fane 13. Nøgletal'!C12)</f>
        <v>0</v>
      </c>
      <c r="D12" s="11" t="s">
        <v>3</v>
      </c>
      <c r="E12" s="10">
        <f>E11*(1+'Fane 13.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3" t="s">
        <v>104</v>
      </c>
      <c r="C14" s="74"/>
      <c r="D14" s="74"/>
      <c r="E14" s="74"/>
      <c r="F14" s="75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187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56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89</v>
      </c>
      <c r="C18" s="10">
        <f>C17*(1+'Fane 13. Nøgletal'!C12)^2</f>
        <v>0</v>
      </c>
      <c r="D18" s="11" t="s">
        <v>3</v>
      </c>
      <c r="E18" s="10">
        <f>E17*(1+'Fane 13.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3" t="s">
        <v>102</v>
      </c>
      <c r="C20" s="74"/>
      <c r="D20" s="74"/>
      <c r="E20" s="74"/>
      <c r="F20" s="75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187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56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90</v>
      </c>
      <c r="C24" s="10">
        <f>C23*(1+'Fane 13. Nøgletal'!C12)^3</f>
        <v>0</v>
      </c>
      <c r="D24" s="11" t="s">
        <v>3</v>
      </c>
      <c r="E24" s="10">
        <f>E23*(1+'Fane 13.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3" t="s">
        <v>105</v>
      </c>
      <c r="C26" s="74"/>
      <c r="D26" s="74"/>
      <c r="E26" s="74"/>
      <c r="F26" s="75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187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56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91</v>
      </c>
      <c r="C30" s="10">
        <f>C29*(1+'Fane 13. Nøgletal'!C12)^4</f>
        <v>0</v>
      </c>
      <c r="D30" s="11" t="s">
        <v>3</v>
      </c>
      <c r="E30" s="10">
        <f>E29*(1+'Fane 13.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tUU0/idLJUGBMkASaXSuPLrlSpKTDyNdJ0IuClXS/yd6bGYZxVFKc5p6DWjU+u1tbmnWlcpHoFjVKUoRBqcVGg==" saltValue="OKzkZ1mjqNAA9/9yLwBKw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148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100" t="s">
        <v>11</v>
      </c>
      <c r="C9" s="101"/>
      <c r="D9" s="101"/>
      <c r="E9" s="101"/>
      <c r="F9" s="102"/>
      <c r="G9" s="8">
        <v>-3287973</v>
      </c>
      <c r="H9" s="12" t="s">
        <v>3</v>
      </c>
      <c r="I9" s="1"/>
    </row>
    <row r="10" spans="1:9" x14ac:dyDescent="0.25">
      <c r="A10" s="1"/>
      <c r="B10" s="100" t="s">
        <v>78</v>
      </c>
      <c r="C10" s="101"/>
      <c r="D10" s="101"/>
      <c r="E10" s="101"/>
      <c r="F10" s="102"/>
      <c r="G10" s="8">
        <v>0</v>
      </c>
      <c r="H10" s="12" t="s">
        <v>3</v>
      </c>
      <c r="I10" s="1"/>
    </row>
    <row r="11" spans="1:9" x14ac:dyDescent="0.25">
      <c r="A11" s="1"/>
      <c r="B11" s="100" t="s">
        <v>70</v>
      </c>
      <c r="C11" s="101"/>
      <c r="D11" s="101"/>
      <c r="E11" s="101"/>
      <c r="F11" s="102"/>
      <c r="G11" s="8">
        <v>2949796.6216931217</v>
      </c>
      <c r="H11" s="12" t="s">
        <v>3</v>
      </c>
      <c r="I11" s="1"/>
    </row>
    <row r="12" spans="1:9" x14ac:dyDescent="0.25">
      <c r="A12" s="1"/>
      <c r="B12" s="103" t="s">
        <v>14</v>
      </c>
      <c r="C12" s="104"/>
      <c r="D12" s="104"/>
      <c r="E12" s="104"/>
      <c r="F12" s="105"/>
      <c r="G12" s="17">
        <f>(G9+G10)+G11</f>
        <v>-338176.37830687826</v>
      </c>
      <c r="H12" s="16" t="s">
        <v>3</v>
      </c>
      <c r="I12" s="1"/>
    </row>
    <row r="13" spans="1:9" x14ac:dyDescent="0.25">
      <c r="A13" s="1"/>
      <c r="B13" s="100" t="s">
        <v>12</v>
      </c>
      <c r="C13" s="101"/>
      <c r="D13" s="101"/>
      <c r="E13" s="101"/>
      <c r="F13" s="102"/>
      <c r="G13" s="8">
        <v>1</v>
      </c>
      <c r="H13" s="12" t="s">
        <v>27</v>
      </c>
      <c r="I13" s="1"/>
    </row>
    <row r="14" spans="1:9" x14ac:dyDescent="0.25">
      <c r="A14" s="1"/>
      <c r="B14" s="73" t="s">
        <v>79</v>
      </c>
      <c r="C14" s="74"/>
      <c r="D14" s="74"/>
      <c r="E14" s="74"/>
      <c r="F14" s="75"/>
      <c r="G14" s="10">
        <f>IF(G13 = 0,0,-G12/G13)</f>
        <v>338176.37830687826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6dVPUXPMF2K3meM3SbK8Ihzj+n+RAbEgjorguz57DU9++MkPQTL5+P1wSLiubp5A8PAGWjhSueXnzPc2iOR9Mw==" saltValue="LWlcFNp81oLINvP3KoE15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141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161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63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137</v>
      </c>
      <c r="C16" s="47"/>
      <c r="D16" s="1"/>
    </row>
    <row r="17" spans="1:4" x14ac:dyDescent="0.25">
      <c r="A17" s="1"/>
      <c r="B17" s="30" t="s">
        <v>162</v>
      </c>
      <c r="C17" s="23">
        <v>1.7000000000000001E-2</v>
      </c>
      <c r="D17" s="1"/>
    </row>
    <row r="18" spans="1:4" x14ac:dyDescent="0.25">
      <c r="A18" s="1"/>
      <c r="B18" s="106"/>
      <c r="C18" s="107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GQBs97i+CYqQ4XIA/jxva3uKb+JhsoJrS5nI8qWZ2IL16+DZ5rmfjXxLk683jynWSBwmMHTZhVsueNOoeT84tw==" saltValue="DJ+XVcEysSd1M+G2sSpN7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57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19</v>
      </c>
      <c r="C8" s="41"/>
      <c r="D8" s="41"/>
      <c r="E8" s="41"/>
      <c r="F8" s="41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ØR2019'!$E$15</f>
        <v>22127562.686127834</v>
      </c>
      <c r="F9" s="36" t="s">
        <v>3</v>
      </c>
      <c r="G9" s="1"/>
    </row>
    <row r="10" spans="1:7" x14ac:dyDescent="0.25">
      <c r="A10" s="1"/>
      <c r="B10" s="38" t="s">
        <v>169</v>
      </c>
      <c r="C10" s="36"/>
      <c r="D10" s="36"/>
      <c r="E10" s="7">
        <f>'Fane 3. Omkostninger i ØR2019'!$E$10*(1-'Fane 13. Nøgletal'!C17)*(1+'Fane 13. Nøgletal'!C10)</f>
        <v>0</v>
      </c>
      <c r="F10" s="36" t="s">
        <v>3</v>
      </c>
      <c r="G10" s="1"/>
    </row>
    <row r="11" spans="1:7" x14ac:dyDescent="0.25">
      <c r="A11" s="1"/>
      <c r="B11" s="38" t="s">
        <v>172</v>
      </c>
      <c r="C11" s="36"/>
      <c r="D11" s="36"/>
      <c r="E11" s="7">
        <f>('Fane 3. Omkostninger i ØR2019'!$E$11+'Fane 3. Omkostninger i ØR2019'!$E$12)*(1-'Fane 13. Nøgletal'!C17)*(1+'Fane 13. Nøgletal'!C11)</f>
        <v>35150.782827105388</v>
      </c>
      <c r="F11" s="36" t="s">
        <v>3</v>
      </c>
      <c r="G11" s="1"/>
    </row>
    <row r="12" spans="1:7" ht="17.100000000000001" customHeight="1" x14ac:dyDescent="0.25">
      <c r="A12" s="1"/>
      <c r="B12" s="31" t="s">
        <v>170</v>
      </c>
      <c r="C12" s="36"/>
      <c r="D12" s="36"/>
      <c r="E12" s="7">
        <f>'Fane 8.1. Varige tillæg'!C12+'Fane 8.1. Varige tillæg'!E12</f>
        <v>599333.05971000006</v>
      </c>
      <c r="F12" s="36" t="s">
        <v>3</v>
      </c>
      <c r="G12" s="1"/>
    </row>
    <row r="13" spans="1:7" ht="17.100000000000001" customHeight="1" x14ac:dyDescent="0.25">
      <c r="A13" s="1"/>
      <c r="B13" s="31" t="s">
        <v>171</v>
      </c>
      <c r="C13" s="36"/>
      <c r="D13" s="36"/>
      <c r="E13" s="8">
        <f>-('Fane 11. Bortfald'!C12+'Fane 11.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130</v>
      </c>
      <c r="C14" s="36"/>
      <c r="D14" s="36"/>
      <c r="E14" s="8">
        <f>'Fane 10. Tilknyttet aktivitet'!C12+'Fane 10.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13. Nøgletal'!C9+E10*'Fane 13. Nøgletal'!C10+E11*'Fane 13. Nøgletal'!C11+SUM(E12:E14)*'Fane 13. Nøgletal'!C12</f>
        <v>292974.5406779843</v>
      </c>
      <c r="F15" s="36" t="s">
        <v>3</v>
      </c>
      <c r="G15" s="1"/>
    </row>
    <row r="16" spans="1:7" ht="17.100000000000001" customHeight="1" x14ac:dyDescent="0.25">
      <c r="A16" s="1"/>
      <c r="B16" s="31" t="s">
        <v>137</v>
      </c>
      <c r="C16" s="36"/>
      <c r="D16" s="36"/>
      <c r="E16" s="8">
        <f>-SUM(E9,E12:E15)*'Fane 13. Nøgletal'!C17</f>
        <v>-391337.79487076891</v>
      </c>
      <c r="F16" s="36" t="s">
        <v>3</v>
      </c>
      <c r="G16" s="1"/>
    </row>
    <row r="17" spans="1:7" ht="17.100000000000001" customHeight="1" x14ac:dyDescent="0.25">
      <c r="A17" s="1"/>
      <c r="B17" s="42" t="s">
        <v>28</v>
      </c>
      <c r="C17" s="40"/>
      <c r="D17" s="40"/>
      <c r="E17" s="9">
        <f>SUM(E9,E12:E16)</f>
        <v>22628532.491645049</v>
      </c>
      <c r="F17" s="39" t="s">
        <v>3</v>
      </c>
      <c r="G17" s="1"/>
    </row>
    <row r="18" spans="1:7" ht="15" customHeight="1" x14ac:dyDescent="0.25">
      <c r="A18" s="1"/>
      <c r="B18" s="41" t="s">
        <v>16</v>
      </c>
      <c r="C18" s="41"/>
      <c r="D18" s="41"/>
      <c r="E18" s="41"/>
      <c r="F18" s="41"/>
      <c r="G18" s="1"/>
    </row>
    <row r="19" spans="1:7" ht="15" customHeight="1" x14ac:dyDescent="0.25">
      <c r="A19" s="1"/>
      <c r="B19" s="39" t="s">
        <v>16</v>
      </c>
      <c r="C19" s="39"/>
      <c r="D19" s="39"/>
      <c r="E19" s="9">
        <f>'Fane 4. Ikke-påvirkelige omk.'!C14+'Fane 4. Ikke-påvirkelige omk.'!C18+'Fane 4. Ikke-påvirkelige omk.'!C26</f>
        <v>886149.00182160002</v>
      </c>
      <c r="F19" s="39" t="s">
        <v>3</v>
      </c>
      <c r="G19" s="1"/>
    </row>
    <row r="20" spans="1:7" ht="15" customHeight="1" x14ac:dyDescent="0.25">
      <c r="A20" s="1"/>
      <c r="B20" s="41" t="s">
        <v>86</v>
      </c>
      <c r="C20" s="41"/>
      <c r="D20" s="41"/>
      <c r="E20" s="41"/>
      <c r="F20" s="41"/>
      <c r="G20" s="1"/>
    </row>
    <row r="21" spans="1:7" ht="15" customHeight="1" x14ac:dyDescent="0.25">
      <c r="A21" s="1"/>
      <c r="B21" s="42" t="s">
        <v>86</v>
      </c>
      <c r="C21" s="40"/>
      <c r="D21" s="40"/>
      <c r="E21" s="9">
        <f>'Fane 9. Periodevise driftsomk.'!E11</f>
        <v>59650.402756100011</v>
      </c>
      <c r="F21" s="39" t="s">
        <v>3</v>
      </c>
      <c r="G21" s="1"/>
    </row>
    <row r="22" spans="1:7" ht="15" customHeight="1" x14ac:dyDescent="0.25">
      <c r="A22" s="1"/>
      <c r="B22" s="41" t="s">
        <v>85</v>
      </c>
      <c r="C22" s="41"/>
      <c r="D22" s="41"/>
      <c r="E22" s="41"/>
      <c r="F22" s="41"/>
      <c r="G22" s="1"/>
    </row>
    <row r="23" spans="1:7" ht="15" customHeight="1" x14ac:dyDescent="0.25">
      <c r="A23" s="1"/>
      <c r="B23" s="31" t="s">
        <v>81</v>
      </c>
      <c r="C23" s="36"/>
      <c r="D23" s="36"/>
      <c r="E23" s="8">
        <f>'Fane 8.2. Engangstillæg'!C13</f>
        <v>0</v>
      </c>
      <c r="F23" s="36" t="s">
        <v>3</v>
      </c>
      <c r="G23" s="1"/>
    </row>
    <row r="24" spans="1:7" ht="15" customHeight="1" x14ac:dyDescent="0.25">
      <c r="A24" s="1"/>
      <c r="B24" s="31" t="s">
        <v>82</v>
      </c>
      <c r="C24" s="36"/>
      <c r="D24" s="36"/>
      <c r="E24" s="8">
        <f>'Fane 8.2. Engangstillæg'!E13</f>
        <v>0</v>
      </c>
      <c r="F24" s="36" t="s">
        <v>3</v>
      </c>
      <c r="G24" s="1"/>
    </row>
    <row r="25" spans="1:7" x14ac:dyDescent="0.25">
      <c r="A25" s="1"/>
      <c r="B25" s="42" t="s">
        <v>88</v>
      </c>
      <c r="C25" s="40"/>
      <c r="D25" s="40"/>
      <c r="E25" s="9">
        <f>SUM(E23:E24)</f>
        <v>0</v>
      </c>
      <c r="F25" s="39" t="s">
        <v>3</v>
      </c>
      <c r="G25" s="1"/>
    </row>
    <row r="26" spans="1:7" x14ac:dyDescent="0.25">
      <c r="A26" s="1"/>
      <c r="B26" s="41" t="s">
        <v>10</v>
      </c>
      <c r="C26" s="41"/>
      <c r="D26" s="41"/>
      <c r="E26" s="41"/>
      <c r="F26" s="41"/>
      <c r="G26" s="1"/>
    </row>
    <row r="27" spans="1:7" ht="15" customHeight="1" x14ac:dyDescent="0.25">
      <c r="A27" s="1"/>
      <c r="B27" s="39" t="s">
        <v>18</v>
      </c>
      <c r="C27" s="39"/>
      <c r="D27" s="39"/>
      <c r="E27" s="9">
        <f>'Fane 12. Hist. over-underdæk.'!G14</f>
        <v>338176.37830687826</v>
      </c>
      <c r="F27" s="39" t="s">
        <v>3</v>
      </c>
      <c r="G27" s="1"/>
    </row>
    <row r="28" spans="1:7" ht="15" customHeight="1" x14ac:dyDescent="0.25">
      <c r="A28" s="1"/>
      <c r="B28" s="41" t="s">
        <v>179</v>
      </c>
      <c r="C28" s="41"/>
      <c r="D28" s="41"/>
      <c r="E28" s="41"/>
      <c r="F28" s="41"/>
      <c r="G28" s="1"/>
    </row>
    <row r="29" spans="1:7" x14ac:dyDescent="0.25">
      <c r="A29" s="1"/>
      <c r="B29" s="39" t="s">
        <v>180</v>
      </c>
      <c r="C29" s="39"/>
      <c r="D29" s="39"/>
      <c r="E29" s="9">
        <f>'Fane 6. Korrektioner'!E20</f>
        <v>0</v>
      </c>
      <c r="F29" s="39" t="s">
        <v>3</v>
      </c>
      <c r="G29" s="1"/>
    </row>
    <row r="30" spans="1:7" x14ac:dyDescent="0.25">
      <c r="A30" s="1"/>
      <c r="B30" s="41" t="s">
        <v>36</v>
      </c>
      <c r="C30" s="41"/>
      <c r="D30" s="41"/>
      <c r="E30" s="10">
        <f>SUM(E17,E19,E21,E25,E27,E29)</f>
        <v>23912508.274529625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8qL+3zbAm2AYmtEhLkx6+h4tl54Cz0YyUKVl16v3X5cbdE3k+oZjyf6j5TbkKlbH5Skmi7O5JAY3dZSnZhbBbA==" saltValue="APwsiuDi/WGyGa+9rHqga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74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19</v>
      </c>
      <c r="C8" s="41"/>
      <c r="D8" s="41"/>
      <c r="E8" s="41"/>
      <c r="F8" s="41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22628532.491645049</v>
      </c>
      <c r="F9" s="36" t="s">
        <v>3</v>
      </c>
      <c r="G9" s="1"/>
    </row>
    <row r="10" spans="1:7" ht="15" customHeight="1" x14ac:dyDescent="0.25">
      <c r="A10" s="1"/>
      <c r="B10" s="36" t="s">
        <v>195</v>
      </c>
      <c r="C10" s="36"/>
      <c r="D10" s="36"/>
      <c r="E10" s="7">
        <v>1050399.7251596902</v>
      </c>
      <c r="F10" s="36" t="s">
        <v>3</v>
      </c>
      <c r="G10" s="1"/>
    </row>
    <row r="11" spans="1:7" ht="15" customHeight="1" x14ac:dyDescent="0.25">
      <c r="A11" s="1"/>
      <c r="B11" s="31" t="s">
        <v>171</v>
      </c>
      <c r="C11" s="36"/>
      <c r="D11" s="36"/>
      <c r="E11" s="7">
        <f>-('Fane 11. Bortfald'!C18+'Fane 11.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13. Nøgletal'!C12</f>
        <v>466474.96467105334</v>
      </c>
      <c r="F12" s="36" t="s">
        <v>3</v>
      </c>
      <c r="G12" s="1"/>
    </row>
    <row r="13" spans="1:7" ht="15" customHeight="1" x14ac:dyDescent="0.25">
      <c r="A13" s="1"/>
      <c r="B13" s="37" t="s">
        <v>137</v>
      </c>
      <c r="C13" s="36"/>
      <c r="D13" s="36"/>
      <c r="E13" s="8">
        <f>-SUM(E9:E12)*'Fane 13. Nøgletal'!C17</f>
        <v>-410471.9220850885</v>
      </c>
      <c r="F13" s="36" t="s">
        <v>3</v>
      </c>
      <c r="G13" s="1"/>
    </row>
    <row r="14" spans="1:7" ht="15" customHeight="1" x14ac:dyDescent="0.25">
      <c r="A14" s="1"/>
      <c r="B14" s="40" t="s">
        <v>28</v>
      </c>
      <c r="C14" s="40"/>
      <c r="D14" s="40"/>
      <c r="E14" s="9">
        <f>SUM(E9:E13)</f>
        <v>23734935.259390704</v>
      </c>
      <c r="F14" s="39" t="s">
        <v>3</v>
      </c>
      <c r="G14" s="1"/>
    </row>
    <row r="15" spans="1:7" x14ac:dyDescent="0.25">
      <c r="A15" s="1"/>
      <c r="B15" s="41" t="s">
        <v>16</v>
      </c>
      <c r="C15" s="41"/>
      <c r="D15" s="41"/>
      <c r="E15" s="41"/>
      <c r="F15" s="41"/>
      <c r="G15" s="1"/>
    </row>
    <row r="16" spans="1:7" ht="15" customHeight="1" x14ac:dyDescent="0.25">
      <c r="A16" s="1"/>
      <c r="B16" s="39" t="s">
        <v>16</v>
      </c>
      <c r="C16" s="39"/>
      <c r="D16" s="39"/>
      <c r="E16" s="9">
        <f>'Fane 4. Ikke-påvirkelige omk.'!C14*(1+'Fane 13. Nøgletal'!C12)+'Fane 4. Ikke-påvirkelige omk.'!C19+'Fane 4. Ikke-påvirkelige omk.'!C27</f>
        <v>903606.13715748559</v>
      </c>
      <c r="F16" s="39" t="s">
        <v>3</v>
      </c>
      <c r="G16" s="1"/>
    </row>
    <row r="17" spans="1:7" ht="15" customHeight="1" x14ac:dyDescent="0.25">
      <c r="A17" s="1"/>
      <c r="B17" s="41" t="s">
        <v>86</v>
      </c>
      <c r="C17" s="41"/>
      <c r="D17" s="41"/>
      <c r="E17" s="41"/>
      <c r="F17" s="41"/>
      <c r="G17" s="1"/>
    </row>
    <row r="18" spans="1:7" ht="15" customHeight="1" x14ac:dyDescent="0.25">
      <c r="A18" s="1"/>
      <c r="B18" s="42" t="s">
        <v>87</v>
      </c>
      <c r="C18" s="40"/>
      <c r="D18" s="40"/>
      <c r="E18" s="9">
        <f>'Fane 9. Periodevise driftsomk.'!E16</f>
        <v>61184.705606596399</v>
      </c>
      <c r="F18" s="39" t="s">
        <v>3</v>
      </c>
      <c r="G18" s="1"/>
    </row>
    <row r="19" spans="1:7" ht="15" customHeight="1" x14ac:dyDescent="0.25">
      <c r="A19" s="1"/>
      <c r="B19" s="41" t="s">
        <v>85</v>
      </c>
      <c r="C19" s="41"/>
      <c r="D19" s="41"/>
      <c r="E19" s="41"/>
      <c r="F19" s="41"/>
      <c r="G19" s="1"/>
    </row>
    <row r="20" spans="1:7" ht="15" customHeight="1" x14ac:dyDescent="0.25">
      <c r="A20" s="1"/>
      <c r="B20" s="31" t="s">
        <v>81</v>
      </c>
      <c r="C20" s="36"/>
      <c r="D20" s="36"/>
      <c r="E20" s="8">
        <f>'Fane 8.2. Engangstillæg'!C20</f>
        <v>0</v>
      </c>
      <c r="F20" s="36" t="s">
        <v>3</v>
      </c>
      <c r="G20" s="1"/>
    </row>
    <row r="21" spans="1:7" ht="15" customHeight="1" x14ac:dyDescent="0.25">
      <c r="A21" s="1"/>
      <c r="B21" s="31" t="s">
        <v>82</v>
      </c>
      <c r="C21" s="36"/>
      <c r="D21" s="36"/>
      <c r="E21" s="8">
        <f>'Fane 8.2. Engangstillæg'!E20</f>
        <v>0</v>
      </c>
      <c r="F21" s="36" t="s">
        <v>3</v>
      </c>
      <c r="G21" s="1"/>
    </row>
    <row r="22" spans="1:7" ht="15" customHeight="1" x14ac:dyDescent="0.25">
      <c r="A22" s="1"/>
      <c r="B22" s="42" t="s">
        <v>88</v>
      </c>
      <c r="C22" s="40"/>
      <c r="D22" s="40"/>
      <c r="E22" s="9">
        <f>SUM(E20:E21)</f>
        <v>0</v>
      </c>
      <c r="F22" s="39" t="s">
        <v>3</v>
      </c>
      <c r="G22" s="1"/>
    </row>
    <row r="23" spans="1:7" x14ac:dyDescent="0.25">
      <c r="A23" s="1"/>
      <c r="B23" s="41" t="s">
        <v>107</v>
      </c>
      <c r="C23" s="41"/>
      <c r="D23" s="41"/>
      <c r="E23" s="41"/>
      <c r="F23" s="41"/>
      <c r="G23" s="1"/>
    </row>
    <row r="24" spans="1:7" ht="15" customHeight="1" x14ac:dyDescent="0.25">
      <c r="A24" s="1"/>
      <c r="B24" s="39" t="s">
        <v>159</v>
      </c>
      <c r="C24" s="39"/>
      <c r="D24" s="39"/>
      <c r="E24" s="9">
        <f>'Fane 5. Kontrol af ØR2018'!E35</f>
        <v>966020.55504998227</v>
      </c>
      <c r="F24" s="39" t="s">
        <v>3</v>
      </c>
      <c r="G24" s="1"/>
    </row>
    <row r="25" spans="1:7" x14ac:dyDescent="0.25">
      <c r="A25" s="1"/>
      <c r="B25" s="41" t="s">
        <v>39</v>
      </c>
      <c r="C25" s="41"/>
      <c r="D25" s="41"/>
      <c r="E25" s="10">
        <f>SUM(E14,E16,E18,E22,E24)</f>
        <v>25665746.657204766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21Norpw29TEgHF99iuH3J2GhHBsMpyOTLb+KON3vLQTGryOwGSv6WWFFW7AyI/rcYHRdUahsSgD8EYMtofTq9Q==" saltValue="MjISRQzZqrEms/lwZNETl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174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19</v>
      </c>
      <c r="C7" s="41"/>
      <c r="D7" s="41"/>
      <c r="E7" s="41"/>
      <c r="F7" s="41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23734935.259390704</v>
      </c>
      <c r="F8" s="36" t="s">
        <v>3</v>
      </c>
      <c r="G8" s="1"/>
    </row>
    <row r="9" spans="1:7" ht="15" customHeight="1" x14ac:dyDescent="0.25">
      <c r="A9" s="1"/>
      <c r="B9" s="36" t="s">
        <v>171</v>
      </c>
      <c r="C9" s="36"/>
      <c r="D9" s="36"/>
      <c r="E9" s="7">
        <f>-('Fane 11. Bortfald'!C24+'Fane 11.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13. Nøgletal'!C12</f>
        <v>467578.22460999683</v>
      </c>
      <c r="F10" s="36" t="s">
        <v>3</v>
      </c>
      <c r="G10" s="1"/>
    </row>
    <row r="11" spans="1:7" ht="15" customHeight="1" x14ac:dyDescent="0.25">
      <c r="A11" s="1"/>
      <c r="B11" s="37" t="s">
        <v>137</v>
      </c>
      <c r="C11" s="36"/>
      <c r="D11" s="36"/>
      <c r="E11" s="8">
        <f>-SUM(E8:E10)*'Fane 13. Nøgletal'!C17</f>
        <v>-411442.72922801197</v>
      </c>
      <c r="F11" s="36" t="s">
        <v>3</v>
      </c>
      <c r="G11" s="1"/>
    </row>
    <row r="12" spans="1:7" x14ac:dyDescent="0.25">
      <c r="A12" s="1"/>
      <c r="B12" s="40" t="s">
        <v>28</v>
      </c>
      <c r="C12" s="40"/>
      <c r="D12" s="40"/>
      <c r="E12" s="9">
        <f>SUM(E8:E11)</f>
        <v>23791070.754772689</v>
      </c>
      <c r="F12" s="39" t="s">
        <v>3</v>
      </c>
      <c r="G12" s="1"/>
    </row>
    <row r="13" spans="1:7" x14ac:dyDescent="0.25">
      <c r="A13" s="1"/>
      <c r="B13" s="41" t="s">
        <v>16</v>
      </c>
      <c r="C13" s="41"/>
      <c r="D13" s="41"/>
      <c r="E13" s="41"/>
      <c r="F13" s="41"/>
      <c r="G13" s="1"/>
    </row>
    <row r="14" spans="1:7" ht="15" customHeight="1" x14ac:dyDescent="0.25">
      <c r="A14" s="1"/>
      <c r="B14" s="39" t="s">
        <v>16</v>
      </c>
      <c r="C14" s="39"/>
      <c r="D14" s="39"/>
      <c r="E14" s="9">
        <f>'Fane 4. Ikke-påvirkelige omk.'!C14*(1+'Fane 13. Nøgletal'!C12)^2+'Fane 4. Ikke-påvirkelige omk.'!C20+'Fane 4. Ikke-påvirkelige omk.'!C28</f>
        <v>921407.17805948807</v>
      </c>
      <c r="F14" s="39" t="s">
        <v>3</v>
      </c>
      <c r="G14" s="1"/>
    </row>
    <row r="15" spans="1:7" ht="15" customHeight="1" x14ac:dyDescent="0.25">
      <c r="A15" s="1"/>
      <c r="B15" s="41" t="s">
        <v>86</v>
      </c>
      <c r="C15" s="41"/>
      <c r="D15" s="41"/>
      <c r="E15" s="41"/>
      <c r="F15" s="41"/>
      <c r="G15" s="1"/>
    </row>
    <row r="16" spans="1:7" ht="15" customHeight="1" x14ac:dyDescent="0.25">
      <c r="A16" s="1"/>
      <c r="B16" s="42" t="s">
        <v>87</v>
      </c>
      <c r="C16" s="40"/>
      <c r="D16" s="40"/>
      <c r="E16" s="9">
        <f>'Fane 9. Periodevise driftsomk.'!E21</f>
        <v>62390.044307046359</v>
      </c>
      <c r="F16" s="39" t="s">
        <v>3</v>
      </c>
      <c r="G16" s="1"/>
    </row>
    <row r="17" spans="1:7" ht="15" customHeight="1" x14ac:dyDescent="0.25">
      <c r="A17" s="1"/>
      <c r="B17" s="41" t="s">
        <v>85</v>
      </c>
      <c r="C17" s="41"/>
      <c r="D17" s="41"/>
      <c r="E17" s="41"/>
      <c r="F17" s="41"/>
      <c r="G17" s="1"/>
    </row>
    <row r="18" spans="1:7" ht="15" customHeight="1" x14ac:dyDescent="0.25">
      <c r="A18" s="1"/>
      <c r="B18" s="31" t="s">
        <v>81</v>
      </c>
      <c r="C18" s="36"/>
      <c r="D18" s="36"/>
      <c r="E18" s="8">
        <f>'Fane 8.2. Engangstillæg'!C27</f>
        <v>0</v>
      </c>
      <c r="F18" s="36" t="s">
        <v>3</v>
      </c>
      <c r="G18" s="1"/>
    </row>
    <row r="19" spans="1:7" ht="15" customHeight="1" x14ac:dyDescent="0.25">
      <c r="A19" s="1"/>
      <c r="B19" s="31" t="s">
        <v>82</v>
      </c>
      <c r="C19" s="36"/>
      <c r="D19" s="36"/>
      <c r="E19" s="8">
        <f>'Fane 8.2. Engangstillæg'!E27</f>
        <v>0</v>
      </c>
      <c r="F19" s="36" t="s">
        <v>3</v>
      </c>
      <c r="G19" s="1"/>
    </row>
    <row r="20" spans="1:7" ht="15" customHeight="1" x14ac:dyDescent="0.25">
      <c r="A20" s="1"/>
      <c r="B20" s="42" t="s">
        <v>88</v>
      </c>
      <c r="C20" s="40"/>
      <c r="D20" s="40"/>
      <c r="E20" s="9">
        <f>SUM(E18:E19)</f>
        <v>0</v>
      </c>
      <c r="F20" s="39" t="s">
        <v>3</v>
      </c>
      <c r="G20" s="1"/>
    </row>
    <row r="21" spans="1:7" ht="15" customHeight="1" x14ac:dyDescent="0.25">
      <c r="A21" s="1"/>
      <c r="B21" s="41" t="s">
        <v>107</v>
      </c>
      <c r="C21" s="41"/>
      <c r="D21" s="41"/>
      <c r="E21" s="41"/>
      <c r="F21" s="41"/>
      <c r="G21" s="1"/>
    </row>
    <row r="22" spans="1:7" ht="15" customHeight="1" x14ac:dyDescent="0.25">
      <c r="A22" s="1"/>
      <c r="B22" s="39" t="s">
        <v>159</v>
      </c>
      <c r="C22" s="39"/>
      <c r="D22" s="39"/>
      <c r="E22" s="9">
        <f>'Fane 2.2. Økonomisk ramme 2021'!E24</f>
        <v>966020.55504998227</v>
      </c>
      <c r="F22" s="39" t="s">
        <v>3</v>
      </c>
      <c r="G22" s="1"/>
    </row>
    <row r="23" spans="1:7" x14ac:dyDescent="0.25">
      <c r="A23" s="1"/>
      <c r="B23" s="41" t="s">
        <v>40</v>
      </c>
      <c r="C23" s="41"/>
      <c r="D23" s="41"/>
      <c r="E23" s="10">
        <f>SUM(E12,E14,E16,E20,E22)</f>
        <v>25740888.532189205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JqZTRbDmB3QXC/lHqKrYSPeaedhXyv+LVfI9bCobxumdsBI5nz//m5YZlrJoLNf/tmqDEIpFHyTM9djNhEdbrQ==" saltValue="Fd3iYV+EE07z195xJhk3u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19</v>
      </c>
      <c r="C7" s="41"/>
      <c r="D7" s="41"/>
      <c r="E7" s="41"/>
      <c r="F7" s="41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23791070.754772689</v>
      </c>
      <c r="F8" s="36" t="s">
        <v>3</v>
      </c>
      <c r="G8" s="1"/>
    </row>
    <row r="9" spans="1:7" ht="15" customHeight="1" x14ac:dyDescent="0.25">
      <c r="A9" s="1"/>
      <c r="B9" s="36" t="s">
        <v>171</v>
      </c>
      <c r="C9" s="36"/>
      <c r="D9" s="36"/>
      <c r="E9" s="7">
        <f>-('Fane 11. Bortfald'!C30+'Fane 11.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13. Nøgletal'!C12</f>
        <v>468684.09386902192</v>
      </c>
      <c r="F10" s="36" t="s">
        <v>3</v>
      </c>
      <c r="G10" s="1"/>
    </row>
    <row r="11" spans="1:7" ht="15" customHeight="1" x14ac:dyDescent="0.25">
      <c r="A11" s="1"/>
      <c r="B11" s="37" t="s">
        <v>137</v>
      </c>
      <c r="C11" s="36"/>
      <c r="D11" s="36"/>
      <c r="E11" s="8">
        <f>-SUM(E8:E10)*'Fane 13. Nøgletal'!C17</f>
        <v>-412415.83242690912</v>
      </c>
      <c r="F11" s="36" t="s">
        <v>3</v>
      </c>
      <c r="G11" s="1"/>
    </row>
    <row r="12" spans="1:7" x14ac:dyDescent="0.25">
      <c r="A12" s="1"/>
      <c r="B12" s="40" t="s">
        <v>28</v>
      </c>
      <c r="C12" s="40"/>
      <c r="D12" s="40"/>
      <c r="E12" s="9">
        <f>SUM(E8:E11)</f>
        <v>23847339.016214803</v>
      </c>
      <c r="F12" s="39" t="s">
        <v>3</v>
      </c>
      <c r="G12" s="1"/>
    </row>
    <row r="13" spans="1:7" x14ac:dyDescent="0.25">
      <c r="A13" s="1"/>
      <c r="B13" s="41" t="s">
        <v>16</v>
      </c>
      <c r="C13" s="41"/>
      <c r="D13" s="41"/>
      <c r="E13" s="41"/>
      <c r="F13" s="41"/>
      <c r="G13" s="1"/>
    </row>
    <row r="14" spans="1:7" ht="15" customHeight="1" x14ac:dyDescent="0.25">
      <c r="A14" s="1"/>
      <c r="B14" s="39" t="s">
        <v>16</v>
      </c>
      <c r="C14" s="39"/>
      <c r="D14" s="39"/>
      <c r="E14" s="9">
        <f>'Fane 4. Ikke-påvirkelige omk.'!C14*(1+'Fane 13. Nøgletal'!C12)^3+'Fane 4. Ikke-påvirkelige omk.'!C21+'Fane 4. Ikke-påvirkelige omk.'!C29</f>
        <v>939558.89946725999</v>
      </c>
      <c r="F14" s="39" t="s">
        <v>3</v>
      </c>
      <c r="G14" s="1"/>
    </row>
    <row r="15" spans="1:7" ht="15" customHeight="1" x14ac:dyDescent="0.25">
      <c r="A15" s="1"/>
      <c r="B15" s="41" t="s">
        <v>86</v>
      </c>
      <c r="C15" s="41"/>
      <c r="D15" s="41"/>
      <c r="E15" s="41"/>
      <c r="F15" s="41"/>
      <c r="G15" s="1"/>
    </row>
    <row r="16" spans="1:7" ht="15" customHeight="1" x14ac:dyDescent="0.25">
      <c r="A16" s="1"/>
      <c r="B16" s="42" t="s">
        <v>87</v>
      </c>
      <c r="C16" s="40"/>
      <c r="D16" s="40"/>
      <c r="E16" s="9">
        <f>'Fane 9. Periodevise driftsomk.'!E26</f>
        <v>63619.128179895168</v>
      </c>
      <c r="F16" s="39" t="s">
        <v>3</v>
      </c>
      <c r="G16" s="1"/>
    </row>
    <row r="17" spans="1:7" ht="15" customHeight="1" x14ac:dyDescent="0.25">
      <c r="A17" s="1"/>
      <c r="B17" s="41" t="s">
        <v>85</v>
      </c>
      <c r="C17" s="41"/>
      <c r="D17" s="41"/>
      <c r="E17" s="41"/>
      <c r="F17" s="41"/>
      <c r="G17" s="1"/>
    </row>
    <row r="18" spans="1:7" ht="15" customHeight="1" x14ac:dyDescent="0.25">
      <c r="A18" s="1"/>
      <c r="B18" s="31" t="s">
        <v>81</v>
      </c>
      <c r="C18" s="36"/>
      <c r="D18" s="36"/>
      <c r="E18" s="8">
        <f>'Fane 8.2. Engangstillæg'!C34</f>
        <v>0</v>
      </c>
      <c r="F18" s="36" t="s">
        <v>3</v>
      </c>
      <c r="G18" s="1"/>
    </row>
    <row r="19" spans="1:7" ht="15" customHeight="1" x14ac:dyDescent="0.25">
      <c r="A19" s="1"/>
      <c r="B19" s="31" t="s">
        <v>82</v>
      </c>
      <c r="C19" s="36"/>
      <c r="D19" s="36"/>
      <c r="E19" s="8">
        <f>'Fane 8.2. Engangstillæg'!E34</f>
        <v>0</v>
      </c>
      <c r="F19" s="36" t="s">
        <v>3</v>
      </c>
      <c r="G19" s="1"/>
    </row>
    <row r="20" spans="1:7" ht="15" customHeight="1" x14ac:dyDescent="0.25">
      <c r="A20" s="1"/>
      <c r="B20" s="42" t="s">
        <v>88</v>
      </c>
      <c r="C20" s="40"/>
      <c r="D20" s="40"/>
      <c r="E20" s="9">
        <f>SUM(E18:E19)</f>
        <v>0</v>
      </c>
      <c r="F20" s="39" t="s">
        <v>3</v>
      </c>
      <c r="G20" s="1"/>
    </row>
    <row r="21" spans="1:7" ht="15" customHeight="1" x14ac:dyDescent="0.25">
      <c r="A21" s="1"/>
      <c r="B21" s="41" t="s">
        <v>107</v>
      </c>
      <c r="C21" s="41"/>
      <c r="D21" s="41"/>
      <c r="E21" s="41"/>
      <c r="F21" s="41"/>
      <c r="G21" s="1"/>
    </row>
    <row r="22" spans="1:7" ht="15" customHeight="1" x14ac:dyDescent="0.25">
      <c r="A22" s="1"/>
      <c r="B22" s="39" t="s">
        <v>159</v>
      </c>
      <c r="C22" s="39"/>
      <c r="D22" s="39"/>
      <c r="E22" s="9">
        <f>'Fane 2.3. Økonomisk ramme 2022'!E22</f>
        <v>966020.55504998227</v>
      </c>
      <c r="F22" s="39" t="s">
        <v>3</v>
      </c>
      <c r="G22" s="1"/>
    </row>
    <row r="23" spans="1:7" x14ac:dyDescent="0.25">
      <c r="A23" s="1"/>
      <c r="B23" s="41" t="s">
        <v>92</v>
      </c>
      <c r="C23" s="41"/>
      <c r="D23" s="41"/>
      <c r="E23" s="10">
        <f>SUM(E12,E14,E16,E20,E22)</f>
        <v>25816537.598911941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+LPByxG1QJBcFnWHj3aCUA3MpjiLMkaQupaaHPNJQNIlDhfD93Zgpsm6KzWTQYCGPhAy3eX8uj/18asm0p1Nng==" saltValue="fBWu5jGl85UcYFC5XgJ24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10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166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73</v>
      </c>
      <c r="C8" s="41"/>
      <c r="D8" s="41"/>
      <c r="E8" s="41"/>
      <c r="F8" s="41"/>
      <c r="G8" s="1"/>
    </row>
    <row r="9" spans="1:7" x14ac:dyDescent="0.25">
      <c r="A9" s="1"/>
      <c r="B9" s="84" t="s">
        <v>71</v>
      </c>
      <c r="C9" s="84"/>
      <c r="D9" s="84"/>
      <c r="E9" s="7">
        <v>22192631.608381018</v>
      </c>
      <c r="F9" s="36" t="s">
        <v>3</v>
      </c>
      <c r="G9" s="1"/>
    </row>
    <row r="10" spans="1:7" x14ac:dyDescent="0.25">
      <c r="A10" s="1"/>
      <c r="B10" s="85" t="s">
        <v>169</v>
      </c>
      <c r="C10" s="85"/>
      <c r="D10" s="85"/>
      <c r="E10" s="7">
        <v>0</v>
      </c>
      <c r="F10" s="36" t="s">
        <v>3</v>
      </c>
      <c r="G10" s="1"/>
    </row>
    <row r="11" spans="1:7" x14ac:dyDescent="0.25">
      <c r="A11" s="1"/>
      <c r="B11" s="71" t="s">
        <v>170</v>
      </c>
      <c r="C11" s="71"/>
      <c r="D11" s="71"/>
      <c r="E11" s="7">
        <v>35164.401999999995</v>
      </c>
      <c r="F11" s="36" t="s">
        <v>3</v>
      </c>
      <c r="G11" s="1"/>
    </row>
    <row r="12" spans="1:7" x14ac:dyDescent="0.25">
      <c r="A12" s="1"/>
      <c r="B12" s="71" t="s">
        <v>171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(E9-E10)*'Fane 13. Nøgletal'!C9+E10*'Fane 13. Nøgletal'!C10+SUM(E11:E12)*'Fane 13. Nøgletal'!C11</f>
        <v>282440.69982023892</v>
      </c>
      <c r="F13" s="36" t="s">
        <v>3</v>
      </c>
      <c r="G13" s="1"/>
    </row>
    <row r="14" spans="1:7" x14ac:dyDescent="0.25">
      <c r="A14" s="1"/>
      <c r="B14" s="71" t="s">
        <v>137</v>
      </c>
      <c r="C14" s="71"/>
      <c r="D14" s="71"/>
      <c r="E14" s="8">
        <f>-SUM(E9:E9,E11:E13)*'Fane 13. Nøgletal'!C17</f>
        <v>-382674.02407342137</v>
      </c>
      <c r="F14" s="36" t="s">
        <v>3</v>
      </c>
      <c r="G14" s="1"/>
    </row>
    <row r="15" spans="1:7" x14ac:dyDescent="0.25">
      <c r="A15" s="1"/>
      <c r="B15" s="72" t="s">
        <v>28</v>
      </c>
      <c r="C15" s="72"/>
      <c r="D15" s="72"/>
      <c r="E15" s="9">
        <f>SUM(E9,E11:E14)</f>
        <v>22127562.686127834</v>
      </c>
      <c r="F15" s="39" t="s">
        <v>3</v>
      </c>
      <c r="G15" s="1"/>
    </row>
    <row r="16" spans="1:7" x14ac:dyDescent="0.25">
      <c r="A16" s="1"/>
      <c r="B16" s="73" t="s">
        <v>86</v>
      </c>
      <c r="C16" s="74"/>
      <c r="D16" s="74"/>
      <c r="E16" s="74"/>
      <c r="F16" s="75"/>
      <c r="G16" s="1"/>
    </row>
    <row r="17" spans="1:7" x14ac:dyDescent="0.25">
      <c r="A17" s="1"/>
      <c r="B17" s="76" t="s">
        <v>164</v>
      </c>
      <c r="C17" s="77"/>
      <c r="D17" s="78"/>
      <c r="E17" s="34">
        <v>59921.458999999995</v>
      </c>
      <c r="F17" s="36" t="s">
        <v>3</v>
      </c>
      <c r="G17" s="1"/>
    </row>
    <row r="18" spans="1:7" x14ac:dyDescent="0.25">
      <c r="A18" s="1"/>
      <c r="B18" s="76" t="s">
        <v>167</v>
      </c>
      <c r="C18" s="77"/>
      <c r="D18" s="78"/>
      <c r="E18" s="34">
        <f>-E17*'Fane 13. Nøgletal'!C17</f>
        <v>-1018.664803</v>
      </c>
      <c r="F18" s="36" t="s">
        <v>3</v>
      </c>
      <c r="G18" s="1"/>
    </row>
    <row r="19" spans="1:7" x14ac:dyDescent="0.25">
      <c r="A19" s="1"/>
      <c r="B19" s="79" t="s">
        <v>168</v>
      </c>
      <c r="C19" s="80"/>
      <c r="D19" s="81"/>
      <c r="E19" s="9">
        <f>SUM(E17:E18)</f>
        <v>58902.794196999996</v>
      </c>
      <c r="F19" s="39" t="s">
        <v>3</v>
      </c>
      <c r="G19" s="1"/>
    </row>
    <row r="20" spans="1:7" x14ac:dyDescent="0.25">
      <c r="A20" s="1"/>
      <c r="B20" s="82" t="s">
        <v>16</v>
      </c>
      <c r="C20" s="82"/>
      <c r="D20" s="82"/>
      <c r="E20" s="41"/>
      <c r="F20" s="41"/>
      <c r="G20" s="1"/>
    </row>
    <row r="21" spans="1:7" x14ac:dyDescent="0.25">
      <c r="A21" s="1"/>
      <c r="B21" s="70" t="s">
        <v>16</v>
      </c>
      <c r="C21" s="70"/>
      <c r="D21" s="70"/>
      <c r="E21" s="9">
        <v>465427.4558624599</v>
      </c>
      <c r="F21" s="39" t="s">
        <v>3</v>
      </c>
      <c r="G21" s="1"/>
    </row>
    <row r="22" spans="1:7" x14ac:dyDescent="0.25">
      <c r="A22" s="1"/>
      <c r="B22" s="41" t="s">
        <v>72</v>
      </c>
      <c r="C22" s="41"/>
      <c r="D22" s="41"/>
      <c r="E22" s="41"/>
      <c r="F22" s="41"/>
      <c r="G22" s="1"/>
    </row>
    <row r="23" spans="1:7" ht="27" customHeight="1" x14ac:dyDescent="0.25">
      <c r="A23" s="1"/>
      <c r="B23" s="69" t="s">
        <v>75</v>
      </c>
      <c r="C23" s="69"/>
      <c r="D23" s="69"/>
      <c r="E23" s="9">
        <v>3027.3566419915292</v>
      </c>
      <c r="F23" s="39" t="s">
        <v>3</v>
      </c>
      <c r="G23" s="1"/>
    </row>
    <row r="24" spans="1:7" x14ac:dyDescent="0.25">
      <c r="A24" s="1"/>
      <c r="B24" s="41" t="s">
        <v>10</v>
      </c>
      <c r="C24" s="41"/>
      <c r="D24" s="41"/>
      <c r="E24" s="41"/>
      <c r="F24" s="41"/>
      <c r="G24" s="1"/>
    </row>
    <row r="25" spans="1:7" x14ac:dyDescent="0.25">
      <c r="A25" s="1"/>
      <c r="B25" s="70" t="s">
        <v>18</v>
      </c>
      <c r="C25" s="70"/>
      <c r="D25" s="70"/>
      <c r="E25" s="9">
        <v>338177</v>
      </c>
      <c r="F25" s="39" t="s">
        <v>3</v>
      </c>
      <c r="G25" s="1"/>
    </row>
    <row r="26" spans="1:7" x14ac:dyDescent="0.25">
      <c r="A26" s="1"/>
      <c r="B26" s="41" t="s">
        <v>23</v>
      </c>
      <c r="C26" s="41"/>
      <c r="D26" s="41"/>
      <c r="E26" s="10">
        <f>SUM(E25,E23,E21,E15,E19)</f>
        <v>22993097.292829286</v>
      </c>
      <c r="F26" s="11" t="s">
        <v>3</v>
      </c>
      <c r="G26" s="1"/>
    </row>
    <row r="27" spans="1:7" ht="28.5" customHeight="1" x14ac:dyDescent="0.25">
      <c r="A27" s="1"/>
      <c r="B27" s="68" t="s">
        <v>140</v>
      </c>
      <c r="C27" s="68"/>
      <c r="D27" s="68"/>
      <c r="E27" s="68"/>
      <c r="F27" s="68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iARojnPQsKrSyzqFZh6VW38Ysksb279XoRLcYUNRLJFkLhHl6kicB8bdPb5kOZbjjviE2Oi7I+Ii99nWNWR7Mg==" saltValue="q1TQI5nE7uP+p2oHI8zCNQ==" spinCount="100000" sheet="1" objects="1" scenarios="1"/>
  <mergeCells count="17">
    <mergeCell ref="B3:F4"/>
    <mergeCell ref="B9:D9"/>
    <mergeCell ref="B11:D11"/>
    <mergeCell ref="B12:D12"/>
    <mergeCell ref="B10:D10"/>
    <mergeCell ref="B27:F27"/>
    <mergeCell ref="B23:D23"/>
    <mergeCell ref="B25:D25"/>
    <mergeCell ref="B13:D13"/>
    <mergeCell ref="B14:D14"/>
    <mergeCell ref="B15:D15"/>
    <mergeCell ref="B16:F16"/>
    <mergeCell ref="B17:D17"/>
    <mergeCell ref="B18:D18"/>
    <mergeCell ref="B19:D19"/>
    <mergeCell ref="B20:D20"/>
    <mergeCell ref="B21:D2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125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3" t="s">
        <v>59</v>
      </c>
      <c r="C8" s="74"/>
      <c r="D8" s="75"/>
      <c r="E8" s="1"/>
      <c r="F8" s="1"/>
    </row>
    <row r="9" spans="1:6" ht="15" customHeight="1" x14ac:dyDescent="0.25">
      <c r="A9" s="1"/>
      <c r="B9" s="19" t="s">
        <v>43</v>
      </c>
      <c r="C9" s="39" t="s">
        <v>60</v>
      </c>
      <c r="D9" s="39"/>
      <c r="E9" s="1"/>
      <c r="F9" s="1"/>
    </row>
    <row r="10" spans="1:6" x14ac:dyDescent="0.25">
      <c r="A10" s="1"/>
      <c r="B10" s="30" t="s">
        <v>175</v>
      </c>
      <c r="C10" s="8">
        <v>655061</v>
      </c>
      <c r="D10" s="12" t="s">
        <v>3</v>
      </c>
      <c r="E10" s="1"/>
      <c r="F10" s="1"/>
    </row>
    <row r="11" spans="1:6" x14ac:dyDescent="0.25">
      <c r="A11" s="1"/>
      <c r="B11" s="30" t="s">
        <v>176</v>
      </c>
      <c r="C11" s="8">
        <v>8043</v>
      </c>
      <c r="D11" s="12" t="s">
        <v>3</v>
      </c>
      <c r="E11" s="1"/>
      <c r="F11" s="1"/>
    </row>
    <row r="12" spans="1:6" x14ac:dyDescent="0.25">
      <c r="A12" s="1"/>
      <c r="B12" s="30" t="s">
        <v>177</v>
      </c>
      <c r="C12" s="8">
        <v>189136</v>
      </c>
      <c r="D12" s="12" t="s">
        <v>3</v>
      </c>
      <c r="E12" s="1"/>
      <c r="F12" s="1"/>
    </row>
    <row r="13" spans="1:6" x14ac:dyDescent="0.25">
      <c r="A13" s="1"/>
      <c r="B13" s="46" t="s">
        <v>61</v>
      </c>
      <c r="C13" s="10">
        <f>SUM(C10:C12)</f>
        <v>852240</v>
      </c>
      <c r="D13" s="11" t="s">
        <v>3</v>
      </c>
      <c r="E13" s="1"/>
      <c r="F13" s="1"/>
    </row>
    <row r="14" spans="1:6" x14ac:dyDescent="0.25">
      <c r="A14" s="1"/>
      <c r="B14" s="46" t="s">
        <v>62</v>
      </c>
      <c r="C14" s="10">
        <f>C13*(1+'Fane 13. Nøgletal'!C12)^2</f>
        <v>886149.00182160002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73" t="s">
        <v>160</v>
      </c>
      <c r="C17" s="74"/>
      <c r="D17" s="75"/>
      <c r="E17" s="1"/>
      <c r="F17" s="1"/>
    </row>
    <row r="18" spans="1:6" x14ac:dyDescent="0.25">
      <c r="A18" s="1"/>
      <c r="B18" s="30" t="s">
        <v>126</v>
      </c>
      <c r="C18" s="8">
        <v>0</v>
      </c>
      <c r="D18" s="12" t="s">
        <v>3</v>
      </c>
      <c r="E18" s="1"/>
      <c r="F18" s="1"/>
    </row>
    <row r="19" spans="1:6" x14ac:dyDescent="0.25">
      <c r="A19" s="1"/>
      <c r="B19" s="30" t="s">
        <v>127</v>
      </c>
      <c r="C19" s="8">
        <v>0</v>
      </c>
      <c r="D19" s="12" t="s">
        <v>3</v>
      </c>
      <c r="E19" s="1"/>
      <c r="F19" s="1"/>
    </row>
    <row r="20" spans="1:6" x14ac:dyDescent="0.25">
      <c r="A20" s="1"/>
      <c r="B20" s="30" t="s">
        <v>128</v>
      </c>
      <c r="C20" s="8">
        <v>0</v>
      </c>
      <c r="D20" s="12" t="s">
        <v>3</v>
      </c>
      <c r="E20" s="1"/>
      <c r="F20" s="1"/>
    </row>
    <row r="21" spans="1:6" x14ac:dyDescent="0.25">
      <c r="A21" s="1"/>
      <c r="B21" s="30" t="s">
        <v>129</v>
      </c>
      <c r="C21" s="8">
        <v>0</v>
      </c>
      <c r="D21" s="12" t="s">
        <v>3</v>
      </c>
      <c r="E21" s="1"/>
      <c r="F21" s="1"/>
    </row>
    <row r="22" spans="1:6" x14ac:dyDescent="0.25">
      <c r="A22" s="1"/>
      <c r="B22" s="73"/>
      <c r="C22" s="74"/>
      <c r="D22" s="75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73" t="s">
        <v>124</v>
      </c>
      <c r="C25" s="74"/>
      <c r="D25" s="75"/>
      <c r="E25" s="1"/>
      <c r="F25" s="1"/>
    </row>
    <row r="26" spans="1:6" x14ac:dyDescent="0.25">
      <c r="A26" s="1"/>
      <c r="B26" s="30" t="s">
        <v>126</v>
      </c>
      <c r="C26" s="8">
        <v>0</v>
      </c>
      <c r="D26" s="12" t="s">
        <v>3</v>
      </c>
      <c r="E26" s="1"/>
      <c r="F26" s="1"/>
    </row>
    <row r="27" spans="1:6" x14ac:dyDescent="0.25">
      <c r="A27" s="1"/>
      <c r="B27" s="30" t="s">
        <v>127</v>
      </c>
      <c r="C27" s="8">
        <v>0</v>
      </c>
      <c r="D27" s="12" t="s">
        <v>3</v>
      </c>
      <c r="E27" s="1"/>
      <c r="F27" s="1"/>
    </row>
    <row r="28" spans="1:6" x14ac:dyDescent="0.25">
      <c r="A28" s="1"/>
      <c r="B28" s="30" t="s">
        <v>128</v>
      </c>
      <c r="C28" s="8">
        <v>0</v>
      </c>
      <c r="D28" s="12" t="s">
        <v>3</v>
      </c>
      <c r="E28" s="1"/>
      <c r="F28" s="1"/>
    </row>
    <row r="29" spans="1:6" x14ac:dyDescent="0.25">
      <c r="A29" s="1"/>
      <c r="B29" s="30" t="s">
        <v>129</v>
      </c>
      <c r="C29" s="8">
        <v>0</v>
      </c>
      <c r="D29" s="12" t="s">
        <v>3</v>
      </c>
      <c r="E29" s="1"/>
      <c r="F29" s="1"/>
    </row>
    <row r="30" spans="1:6" x14ac:dyDescent="0.25">
      <c r="A30" s="1"/>
      <c r="B30" s="73"/>
      <c r="C30" s="74"/>
      <c r="D30" s="75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LmhMPxQ3sX5cTkqIKQrkurDsiFwZFZr1JJyw9TsoGtUWxlo1r+7QwjYsi3dQgJw4qCknJlIcxS7vs2maj5/5sg==" saltValue="sXBWBosaaXTeEq8/1dfafA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142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86" t="s">
        <v>47</v>
      </c>
      <c r="C6" s="86"/>
      <c r="D6" s="86"/>
      <c r="E6" s="86"/>
      <c r="F6" s="86"/>
      <c r="G6" s="1"/>
    </row>
    <row r="7" spans="1:7" ht="15" customHeight="1" x14ac:dyDescent="0.25">
      <c r="A7" s="1"/>
      <c r="B7" s="87" t="s">
        <v>45</v>
      </c>
      <c r="C7" s="87"/>
      <c r="D7" s="87"/>
      <c r="E7" s="8">
        <v>877008.50916666666</v>
      </c>
      <c r="F7" s="12" t="s">
        <v>3</v>
      </c>
      <c r="G7" s="1"/>
    </row>
    <row r="8" spans="1:7" ht="15" customHeight="1" x14ac:dyDescent="0.25">
      <c r="A8" s="1"/>
      <c r="B8" s="87" t="s">
        <v>46</v>
      </c>
      <c r="C8" s="87"/>
      <c r="D8" s="87"/>
      <c r="E8" s="8">
        <v>2987073.7110332623</v>
      </c>
      <c r="F8" s="12" t="s">
        <v>3</v>
      </c>
      <c r="G8" s="1"/>
    </row>
    <row r="9" spans="1:7" ht="15" customHeight="1" x14ac:dyDescent="0.25">
      <c r="A9" s="1"/>
      <c r="B9" s="79" t="s">
        <v>157</v>
      </c>
      <c r="C9" s="80"/>
      <c r="D9" s="81"/>
      <c r="E9" s="9">
        <f>SUM(E7:E8)</f>
        <v>3864082.2201999291</v>
      </c>
      <c r="F9" s="15" t="s">
        <v>3</v>
      </c>
      <c r="G9" s="1"/>
    </row>
    <row r="10" spans="1:7" ht="15" customHeight="1" x14ac:dyDescent="0.25">
      <c r="A10" s="1"/>
      <c r="B10" s="73"/>
      <c r="C10" s="74"/>
      <c r="D10" s="74"/>
      <c r="E10" s="74"/>
      <c r="F10" s="75"/>
      <c r="G10" s="1"/>
    </row>
    <row r="11" spans="1:7" ht="27" customHeight="1" x14ac:dyDescent="0.25">
      <c r="A11" s="1"/>
      <c r="B11" s="68" t="s">
        <v>135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113</v>
      </c>
      <c r="C14" s="86"/>
      <c r="D14" s="86"/>
      <c r="E14" s="86"/>
      <c r="F14" s="86"/>
      <c r="G14" s="1"/>
    </row>
    <row r="15" spans="1:7" x14ac:dyDescent="0.25">
      <c r="A15" s="1"/>
      <c r="B15" s="87" t="s">
        <v>114</v>
      </c>
      <c r="C15" s="87"/>
      <c r="D15" s="87"/>
      <c r="E15" s="8">
        <v>23250186.525058232</v>
      </c>
      <c r="F15" s="12" t="s">
        <v>3</v>
      </c>
      <c r="G15" s="1"/>
    </row>
    <row r="16" spans="1:7" x14ac:dyDescent="0.25">
      <c r="A16" s="1"/>
      <c r="B16" s="87" t="s">
        <v>115</v>
      </c>
      <c r="C16" s="87"/>
      <c r="D16" s="87"/>
      <c r="E16" s="8">
        <v>19035501</v>
      </c>
      <c r="F16" s="12" t="s">
        <v>3</v>
      </c>
      <c r="G16" s="1"/>
    </row>
    <row r="17" spans="1:7" x14ac:dyDescent="0.25">
      <c r="A17" s="1"/>
      <c r="B17" s="87" t="s">
        <v>44</v>
      </c>
      <c r="C17" s="87"/>
      <c r="D17" s="87"/>
      <c r="E17" s="8">
        <v>0</v>
      </c>
      <c r="F17" s="12" t="s">
        <v>3</v>
      </c>
      <c r="G17" s="1"/>
    </row>
    <row r="18" spans="1:7" x14ac:dyDescent="0.25">
      <c r="A18" s="1"/>
      <c r="B18" s="88" t="s">
        <v>158</v>
      </c>
      <c r="C18" s="88"/>
      <c r="D18" s="88"/>
      <c r="E18" s="9">
        <f>E15-(E16-E17)</f>
        <v>4214685.5250582322</v>
      </c>
      <c r="F18" s="15" t="s">
        <v>3</v>
      </c>
      <c r="G18" s="1"/>
    </row>
    <row r="19" spans="1:7" x14ac:dyDescent="0.25">
      <c r="A19" s="1"/>
      <c r="B19" s="89"/>
      <c r="C19" s="90"/>
      <c r="D19" s="90"/>
      <c r="E19" s="90"/>
      <c r="F19" s="91"/>
      <c r="G19" s="1"/>
    </row>
    <row r="20" spans="1:7" ht="28.5" customHeight="1" x14ac:dyDescent="0.25">
      <c r="A20" s="1"/>
      <c r="B20" s="68" t="s">
        <v>134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6" t="s">
        <v>67</v>
      </c>
      <c r="C23" s="86"/>
      <c r="D23" s="86"/>
      <c r="E23" s="86"/>
      <c r="F23" s="86"/>
      <c r="G23" s="1"/>
    </row>
    <row r="24" spans="1:7" x14ac:dyDescent="0.25">
      <c r="A24" s="1"/>
      <c r="B24" s="87" t="s">
        <v>68</v>
      </c>
      <c r="C24" s="87"/>
      <c r="D24" s="87"/>
      <c r="E24" s="8">
        <v>23147707.204575818</v>
      </c>
      <c r="F24" s="12" t="s">
        <v>3</v>
      </c>
      <c r="G24" s="1"/>
    </row>
    <row r="25" spans="1:7" x14ac:dyDescent="0.25">
      <c r="A25" s="1"/>
      <c r="B25" s="87" t="s">
        <v>69</v>
      </c>
      <c r="C25" s="87"/>
      <c r="D25" s="87"/>
      <c r="E25" s="8">
        <v>18925745</v>
      </c>
      <c r="F25" s="12" t="s">
        <v>3</v>
      </c>
      <c r="G25" s="1"/>
    </row>
    <row r="26" spans="1:7" x14ac:dyDescent="0.25">
      <c r="A26" s="1"/>
      <c r="B26" s="87" t="s">
        <v>44</v>
      </c>
      <c r="C26" s="87"/>
      <c r="D26" s="87"/>
      <c r="E26" s="8">
        <v>0</v>
      </c>
      <c r="F26" s="12" t="s">
        <v>3</v>
      </c>
      <c r="G26" s="1"/>
    </row>
    <row r="27" spans="1:7" x14ac:dyDescent="0.25">
      <c r="A27" s="1"/>
      <c r="B27" s="88" t="s">
        <v>158</v>
      </c>
      <c r="C27" s="88"/>
      <c r="D27" s="88"/>
      <c r="E27" s="9">
        <f>E24-(E25-E26)</f>
        <v>4221962.204575818</v>
      </c>
      <c r="F27" s="15" t="s">
        <v>3</v>
      </c>
      <c r="G27" s="1"/>
    </row>
    <row r="28" spans="1:7" x14ac:dyDescent="0.25">
      <c r="A28" s="1"/>
      <c r="B28" s="73"/>
      <c r="C28" s="74"/>
      <c r="D28" s="74"/>
      <c r="E28" s="74"/>
      <c r="F28" s="75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136</v>
      </c>
      <c r="C31" s="86"/>
      <c r="D31" s="86"/>
      <c r="E31" s="86"/>
      <c r="F31" s="86"/>
      <c r="G31" s="1"/>
    </row>
    <row r="32" spans="1:7" x14ac:dyDescent="0.25">
      <c r="A32" s="1"/>
      <c r="B32" s="85" t="s">
        <v>47</v>
      </c>
      <c r="C32" s="85"/>
      <c r="D32" s="85"/>
      <c r="E32" s="8">
        <f>E9</f>
        <v>3864082.2201999291</v>
      </c>
      <c r="F32" s="12" t="s">
        <v>3</v>
      </c>
      <c r="G32" s="1"/>
    </row>
    <row r="33" spans="1:7" x14ac:dyDescent="0.25">
      <c r="A33" s="1"/>
      <c r="B33" s="85" t="s">
        <v>156</v>
      </c>
      <c r="C33" s="85"/>
      <c r="D33" s="85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85" t="s">
        <v>145</v>
      </c>
      <c r="C34" s="85"/>
      <c r="D34" s="85"/>
      <c r="E34" s="8">
        <v>4</v>
      </c>
      <c r="F34" s="12" t="s">
        <v>27</v>
      </c>
      <c r="G34" s="1"/>
    </row>
    <row r="35" spans="1:7" x14ac:dyDescent="0.25">
      <c r="A35" s="1"/>
      <c r="B35" s="88" t="s">
        <v>181</v>
      </c>
      <c r="C35" s="88"/>
      <c r="D35" s="88"/>
      <c r="E35" s="9">
        <f>SUM(E32:E33)/E34</f>
        <v>966020.55504998227</v>
      </c>
      <c r="F35" s="15" t="s">
        <v>3</v>
      </c>
      <c r="G35" s="1"/>
    </row>
    <row r="36" spans="1:7" x14ac:dyDescent="0.25">
      <c r="A36" s="1"/>
      <c r="B36" s="86"/>
      <c r="C36" s="86"/>
      <c r="D36" s="86"/>
      <c r="E36" s="86"/>
      <c r="F36" s="8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JyAwOzfeU+casC7+pLx9zCB2BwT4rhvFDDNBjimY07mfhom8d3vk3kpbnE70qAzZJBDiLKMB0x7meC3Sznv2YA==" saltValue="Dbaz/DZaSfXaJX5opSuM3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182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110</v>
      </c>
      <c r="C9" s="86"/>
      <c r="D9" s="86"/>
      <c r="E9" s="86"/>
      <c r="F9" s="86"/>
      <c r="G9" s="1"/>
    </row>
    <row r="10" spans="1:7" x14ac:dyDescent="0.25">
      <c r="A10" s="1"/>
      <c r="B10" s="68" t="s">
        <v>131</v>
      </c>
      <c r="C10" s="68"/>
      <c r="D10" s="68"/>
      <c r="E10" s="7">
        <v>0</v>
      </c>
      <c r="F10" s="36" t="s">
        <v>3</v>
      </c>
      <c r="G10" s="1"/>
    </row>
    <row r="11" spans="1:7" x14ac:dyDescent="0.25">
      <c r="A11" s="1"/>
      <c r="B11" s="87" t="s">
        <v>132</v>
      </c>
      <c r="C11" s="87"/>
      <c r="D11" s="87"/>
      <c r="E11" s="7">
        <v>0</v>
      </c>
      <c r="F11" s="36" t="s">
        <v>3</v>
      </c>
      <c r="G11" s="1"/>
    </row>
    <row r="12" spans="1:7" x14ac:dyDescent="0.25">
      <c r="A12" s="1"/>
      <c r="B12" s="88" t="s">
        <v>133</v>
      </c>
      <c r="C12" s="88"/>
      <c r="D12" s="88"/>
      <c r="E12" s="9">
        <f>E11-E10</f>
        <v>0</v>
      </c>
      <c r="F12" s="39" t="s">
        <v>3</v>
      </c>
      <c r="G12" s="1"/>
    </row>
    <row r="13" spans="1:7" x14ac:dyDescent="0.25">
      <c r="A13" s="1"/>
      <c r="B13" s="86" t="s">
        <v>111</v>
      </c>
      <c r="C13" s="86"/>
      <c r="D13" s="86"/>
      <c r="E13" s="86"/>
      <c r="F13" s="86"/>
      <c r="G13" s="1"/>
    </row>
    <row r="14" spans="1:7" x14ac:dyDescent="0.25">
      <c r="A14" s="1"/>
      <c r="B14" s="87" t="s">
        <v>154</v>
      </c>
      <c r="C14" s="87"/>
      <c r="D14" s="87"/>
      <c r="E14" s="8">
        <v>0</v>
      </c>
      <c r="F14" s="36" t="s">
        <v>3</v>
      </c>
      <c r="G14" s="1"/>
    </row>
    <row r="15" spans="1:7" x14ac:dyDescent="0.25">
      <c r="A15" s="1"/>
      <c r="B15" s="87" t="s">
        <v>155</v>
      </c>
      <c r="C15" s="87"/>
      <c r="D15" s="87"/>
      <c r="E15" s="8">
        <v>0</v>
      </c>
      <c r="F15" s="36" t="s">
        <v>3</v>
      </c>
      <c r="G15" s="1"/>
    </row>
    <row r="16" spans="1:7" x14ac:dyDescent="0.25">
      <c r="A16" s="1"/>
      <c r="B16" s="88" t="s">
        <v>133</v>
      </c>
      <c r="C16" s="88"/>
      <c r="D16" s="88"/>
      <c r="E16" s="9">
        <f>E15-E14</f>
        <v>0</v>
      </c>
      <c r="F16" s="39" t="s">
        <v>3</v>
      </c>
      <c r="G16" s="1"/>
    </row>
    <row r="17" spans="1:7" ht="15" customHeight="1" x14ac:dyDescent="0.25">
      <c r="A17" s="1"/>
      <c r="B17" s="86" t="s">
        <v>106</v>
      </c>
      <c r="C17" s="86"/>
      <c r="D17" s="86"/>
      <c r="E17" s="86"/>
      <c r="F17" s="86"/>
      <c r="G17" s="1"/>
    </row>
    <row r="18" spans="1:7" ht="28.15" customHeight="1" x14ac:dyDescent="0.25">
      <c r="A18" s="1"/>
      <c r="B18" s="76" t="s">
        <v>193</v>
      </c>
      <c r="C18" s="77"/>
      <c r="D18" s="78"/>
      <c r="E18" s="8">
        <v>0</v>
      </c>
      <c r="F18" s="36" t="s">
        <v>3</v>
      </c>
      <c r="G18" s="1"/>
    </row>
    <row r="19" spans="1:7" ht="28.5" customHeight="1" x14ac:dyDescent="0.25">
      <c r="A19" s="1"/>
      <c r="B19" s="69" t="s">
        <v>112</v>
      </c>
      <c r="C19" s="69"/>
      <c r="D19" s="69"/>
      <c r="E19" s="9">
        <f>IF('Fane 3. Omkostninger i ØR2019'!E23-'Fane 3. Omkostninger i ØR2019'!E23/(1+'Fane 13. Nøgletal'!C11)^2+E18&lt;0,-('Fane 3. Omkostninger i ØR2019'!E23-'Fane 3. Omkostninger i ØR2019'!E23/(1+'Fane 13. Nøgletal'!C11)^2+E18),0)</f>
        <v>0</v>
      </c>
      <c r="F19" s="39" t="s">
        <v>3</v>
      </c>
      <c r="G19" s="1"/>
    </row>
    <row r="20" spans="1:7" x14ac:dyDescent="0.25">
      <c r="A20" s="1"/>
      <c r="B20" s="41" t="s">
        <v>123</v>
      </c>
      <c r="C20" s="41"/>
      <c r="D20" s="41"/>
      <c r="E20" s="10">
        <f>E12+E16+E19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qvFYDXTAiXVx6w+5xXRCzvmBc7HvE7bBHCS8Ev+87FvViBe2729CB3VZxX55CX61FPyShFbt7LEAdQS037dQ==" saltValue="pctJvnh8LQWSJLbFvWIQjw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Periodevise driftsomk.</vt:lpstr>
      <vt:lpstr>Fane 10. Tilknyttet aktivitet</vt:lpstr>
      <vt:lpstr>Fane 11. Bortfald</vt:lpstr>
      <vt:lpstr>Fane 12. Hist. over-underdæk.</vt:lpstr>
      <vt:lpstr>Fane 13.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2019-08-29T07:27:29Z</dcterms:modified>
</cp:coreProperties>
</file>