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rønderslev Vand AS (V03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29" i="39"/>
  <c r="E28" i="39"/>
  <c r="E30" i="39" s="1"/>
  <c r="C20" i="22" s="1"/>
  <c r="C37" i="39"/>
  <c r="C36" i="39"/>
  <c r="E21" i="39"/>
  <c r="E20" i="39"/>
  <c r="E37" i="39"/>
  <c r="E36" i="39"/>
  <c r="E14" i="39" l="1"/>
  <c r="C25" i="2" s="1"/>
  <c r="C38" i="39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1" i="37" s="1"/>
  <c r="C12" i="37" s="1"/>
  <c r="C10" i="2" s="1"/>
  <c r="G11" i="11"/>
  <c r="E11" i="21" l="1"/>
  <c r="C11" i="21"/>
  <c r="E11" i="29"/>
  <c r="C11" i="29"/>
  <c r="C13" i="19"/>
  <c r="C14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<sst xmlns="http://schemas.openxmlformats.org/spreadsheetml/2006/main" count="589" uniqueCount="242">
  <si>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</si>
  <si>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</si>
  <si>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</si>
  <si>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</si>
  <si>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</si>
  <si>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</si>
  <si>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</si>
  <si>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</si>
  <si>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</si>
  <si>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</si>
  <si>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</si>
  <si>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</si>
  <si>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</si>
  <si>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</si>
  <si>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</si>
  <si>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</si>
  <si>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</si>
  <si>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</si>
  <si>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</si>
  <si>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</si>
  <si>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</si>
  <si>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</si>
  <si>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</si>
  <si>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</si>
  <si>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</si>
  <si>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</si>
  <si>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</si>
  <si>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</si>
  <si>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</si>
  <si>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</si>
  <si>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</si>
  <si>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</si>
  <si>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</si>
  <si>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</si>
  <si>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</si>
  <si>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</si>
  <si>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</si>
  <si>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</si>
  <si>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</si>
  <si>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</si>
  <si>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</si>
  <si>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</si>
  <si>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</si>
  <si>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</si>
  <si>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</si>
  <si>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</si>
  <si>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</si>
  <si>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</si>
  <si>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</si>
  <si>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</si>
  <si>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</si>
  <si>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</si>
  <si>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</si>
  <si>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</si>
  <si>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</si>
  <si>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</si>
  <si>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</si>
  <si>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</si>
  <si>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</si>
  <si>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</si>
  <si>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</si>
  <si>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</si>
  <si>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</si>
  <si>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</si>
  <si>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</si>
  <si>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</si>
  <si>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</si>
  <si>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</si>
  <si>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</si>
  <si>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</si>
  <si>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</si>
  <si>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</si>
  <si>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</si>
  <si>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</si>
  <si>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</si>
  <si>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</si>
  <si>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</si>
  <si>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</si>
  <si>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</si>
  <si>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</si>
  <si>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</si>
  <si>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</si>
  <si>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</si>
  <si>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</si>
  <si>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</si>
  <si>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</si>
  <si>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</si>
  <si>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</si>
  <si>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</si>
  <si>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</si>
  <si>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</si>
  <si>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</si>
  <si>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</si>
  <si>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</si>
  <si>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</si>
  <si>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</si>
  <si>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</si>
  <si>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</si>
  <si>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</si>
  <si>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</si>
  <si>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</si>
  <si>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</si>
  <si>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</si>
  <si>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</si>
  <si>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</si>
  <si>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</si>
  <si>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</si>
  <si>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</si>
  <si>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</si>
  <si>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</si>
  <si>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</si>
  <si>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</si>
  <si>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</si>
  <si>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</si>
  <si>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</si>
  <si>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</si>
  <si>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</si>
  <si>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</si>
  <si>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</si>
  <si>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</si>
  <si>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</si>
  <si>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</si>
  <si>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</si>
  <si>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</si>
  <si>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</si>
  <si>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</si>
  <si>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</si>
  <si>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</si>
  <si>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</si>
  <si>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</si>
  <si>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</si>
  <si>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</si>
  <si>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</si>
  <si>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</si>
  <si>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</si>
  <si>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</si>
  <si>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</si>
  <si>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</si>
  <si>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</si>
  <si>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</si>
  <si>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</si>
  <si>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</si>
  <si>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</si>
  <si>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</si>
  <si>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</si>
  <si>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</si>
  <si>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</si>
  <si>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</si>
  <si>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</si>
  <si>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</si>
  <si>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</si>
  <si>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</si>
  <si>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</si>
  <si>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</si>
  <si>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</si>
  <si>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</si>
  <si>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</si>
  <si>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</si>
  <si>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</si>
  <si>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</si>
  <si>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</si>
  <si>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</si>
  <si>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</si>
  <si>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</si>
  <si>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</si>
  <si>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</si>
  <si>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</si>
  <si>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</si>
  <si>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</si>
  <si>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</si>
  <si>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</si>
  <si>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</si>
  <si>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</si>
  <si>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</si>
  <si>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</si>
  <si>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</si>
  <si>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</si>
  <si>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</si>
  <si>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</si>
  <si>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</si>
  <si>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</si>
  <si>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</si>
  <si>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</si>
  <si>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</si>
  <si>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</si>
  <si>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</si>
  <si>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</si>
  <si>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</si>
  <si>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</si>
  <si>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</si>
  <si>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</si>
  <si>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</si>
  <si>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</si>
  <si>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</si>
  <si>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</si>
  <si>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</si>
  <si>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</si>
  <si>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</si>
  <si>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</si>
  <si>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</si>
  <si>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</si>
  <si>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</si>
  <si>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</si>
  <si>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</si>
  <si>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</si>
  <si>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</si>
  <si>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</si>
  <si>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</si>
  <si>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</si>
  <si>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</si>
  <si>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</si>
  <si>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</si>
  <si>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</si>
  <si>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</si>
  <si>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</si>
  <si>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</si>
  <si>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</si>
  <si>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</si>
  <si>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</si>
  <si>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</si>
  <si>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</si>
  <si>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</si>
  <si>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</si>
  <si>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</si>
  <si>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</si>
  <si>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</si>
  <si>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</si>
  <si>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</si>
  <si>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</si>
  <si>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</si>
  <si>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</si>
  <si>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</si>
  <si>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</si>
  <si>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</si>
  <si>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</si>
  <si>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</si>
  <si>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</si>
  <si>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</si>
  <si>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Erstatninger</t>
  </si>
  <si>
    <t>Ingen engangstillæg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</si>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</sst>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2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25">
      <c r="A8" s="1"/>
      <c r="B8" s="1"/>
      <c r="C8" s="4"/>
      <c r="D8" s="68" t="s">
        <v>192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56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22</v>
      </c>
      <c r="D14" s="63" t="s">
        <v>177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55</v>
      </c>
      <c r="D15" s="63" t="s">
        <v>133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57</v>
      </c>
      <c r="D16" s="63" t="s">
        <v>134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224</v>
      </c>
      <c r="D17" s="63" t="s">
        <v>66</v>
      </c>
      <c r="E17" s="64"/>
      <c r="F17" s="64"/>
      <c r="G17" s="65"/>
      <c r="H17" s="1"/>
      <c r="I17" s="1"/>
    </row>
    <row r="18" spans="1:9" x14ac:dyDescent="0.25">
      <c r="A18" s="1"/>
      <c r="B18" s="1"/>
      <c r="C18" s="34" t="s">
        <v>196</v>
      </c>
      <c r="D18" s="69" t="s">
        <v>162</v>
      </c>
      <c r="E18" s="70"/>
      <c r="F18" s="70"/>
      <c r="G18" s="71"/>
      <c r="H18" s="1"/>
      <c r="I18" s="1"/>
    </row>
    <row r="19" spans="1:9" x14ac:dyDescent="0.25">
      <c r="A19" s="1"/>
      <c r="B19" s="1"/>
      <c r="C19" s="34" t="s">
        <v>197</v>
      </c>
      <c r="D19" s="69" t="s">
        <v>163</v>
      </c>
      <c r="E19" s="70"/>
      <c r="F19" s="70"/>
      <c r="G19" s="71"/>
      <c r="H19" s="1"/>
      <c r="I19" s="1"/>
    </row>
    <row r="20" spans="1:9" x14ac:dyDescent="0.25">
      <c r="A20" s="1"/>
      <c r="B20" s="1"/>
      <c r="C20" s="34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198</v>
      </c>
      <c r="D21" s="60" t="s">
        <v>17</v>
      </c>
      <c r="E21" s="61"/>
      <c r="F21" s="61"/>
      <c r="G21" s="62"/>
      <c r="H21" s="1"/>
      <c r="I21" s="1"/>
    </row>
    <row r="22" spans="1:9" x14ac:dyDescent="0.25">
      <c r="A22" s="1"/>
      <c r="B22" s="1"/>
      <c r="C22" s="6" t="s">
        <v>140</v>
      </c>
      <c r="D22" s="54" t="s">
        <v>161</v>
      </c>
      <c r="E22" s="55"/>
      <c r="F22" s="55"/>
      <c r="G22" s="56"/>
      <c r="H22" s="1"/>
      <c r="I22" s="1"/>
    </row>
    <row r="23" spans="1:9" x14ac:dyDescent="0.25">
      <c r="A23" s="1"/>
      <c r="B23" s="1"/>
      <c r="C23" s="6" t="s">
        <v>8</v>
      </c>
      <c r="D23" s="54" t="s">
        <v>225</v>
      </c>
      <c r="E23" s="55"/>
      <c r="F23" s="55"/>
      <c r="G23" s="56"/>
      <c r="H23" s="1"/>
      <c r="I23" s="1"/>
    </row>
    <row r="24" spans="1:9" x14ac:dyDescent="0.25">
      <c r="A24" s="1"/>
      <c r="B24" s="1"/>
      <c r="C24" s="6" t="s">
        <v>9</v>
      </c>
      <c r="D24" s="54" t="s">
        <v>58</v>
      </c>
      <c r="E24" s="55"/>
      <c r="F24" s="55"/>
      <c r="G24" s="56"/>
      <c r="H24" s="1"/>
      <c r="I24" s="1"/>
    </row>
    <row r="25" spans="1:9" x14ac:dyDescent="0.25">
      <c r="A25" s="1"/>
      <c r="B25" s="1"/>
      <c r="C25" s="6" t="s">
        <v>199</v>
      </c>
      <c r="D25" s="54" t="s">
        <v>141</v>
      </c>
      <c r="E25" s="55"/>
      <c r="F25" s="55"/>
      <c r="G25" s="56"/>
      <c r="H25" s="1"/>
      <c r="I25" s="1"/>
    </row>
    <row r="26" spans="1:9" x14ac:dyDescent="0.25">
      <c r="A26" s="1"/>
      <c r="B26" s="1"/>
      <c r="C26" s="6" t="s">
        <v>200</v>
      </c>
      <c r="D26" s="54" t="s">
        <v>142</v>
      </c>
      <c r="E26" s="55"/>
      <c r="F26" s="55"/>
      <c r="G26" s="56"/>
      <c r="H26" s="1"/>
      <c r="I26" s="1"/>
    </row>
    <row r="27" spans="1:9" x14ac:dyDescent="0.25">
      <c r="A27" s="1"/>
      <c r="B27" s="1"/>
      <c r="C27" s="6" t="s">
        <v>201</v>
      </c>
      <c r="D27" s="54" t="s">
        <v>59</v>
      </c>
      <c r="E27" s="55"/>
      <c r="F27" s="55"/>
      <c r="G27" s="56"/>
      <c r="H27" s="1"/>
      <c r="I27" s="1"/>
    </row>
    <row r="28" spans="1:9" x14ac:dyDescent="0.25">
      <c r="A28" s="1"/>
      <c r="B28" s="1"/>
      <c r="C28" s="6" t="s">
        <v>183</v>
      </c>
      <c r="D28" s="54" t="s">
        <v>60</v>
      </c>
      <c r="E28" s="55"/>
      <c r="F28" s="55"/>
      <c r="G28" s="56"/>
      <c r="H28" s="1"/>
      <c r="I28" s="1"/>
    </row>
    <row r="29" spans="1:9" x14ac:dyDescent="0.25">
      <c r="A29" s="1"/>
      <c r="B29" s="1"/>
      <c r="C29" s="6" t="s">
        <v>61</v>
      </c>
      <c r="D29" s="51" t="s">
        <v>11</v>
      </c>
      <c r="E29" s="52"/>
      <c r="F29" s="52"/>
      <c r="G29" s="53"/>
      <c r="H29" s="1"/>
      <c r="I29" s="1"/>
    </row>
    <row r="30" spans="1:9" x14ac:dyDescent="0.25">
      <c r="A30" s="1"/>
      <c r="B30" s="1"/>
      <c r="C30" s="6" t="s">
        <v>62</v>
      </c>
      <c r="D30" s="57" t="s">
        <v>184</v>
      </c>
      <c r="E30" s="58"/>
      <c r="F30" s="58"/>
      <c r="G30" s="59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zQ9+9pc+GJOG6BDZEpjf8klwaR97/+k2e5SrEzaUONH9UKXFQCRemQxh6NH/xbBt+u/ulC/mUVbOufiAc8Mufw==" saltValue="sY2+DqYki7YSVwfRirSuPw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39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236</v>
      </c>
      <c r="C10" s="9">
        <v>6056258</v>
      </c>
      <c r="D10" s="14" t="s">
        <v>3</v>
      </c>
      <c r="E10" s="1"/>
      <c r="F10" s="1"/>
    </row>
    <row r="11" spans="1:6" x14ac:dyDescent="0.25">
      <c r="A11" s="1"/>
      <c r="B11" s="48" t="s">
        <v>237</v>
      </c>
      <c r="C11" s="9">
        <v>33300</v>
      </c>
      <c r="D11" s="14" t="s">
        <v>3</v>
      </c>
      <c r="E11" s="1"/>
      <c r="F11" s="1"/>
    </row>
    <row r="12" spans="1:6" x14ac:dyDescent="0.25">
      <c r="A12" s="1"/>
      <c r="B12" s="48" t="s">
        <v>238</v>
      </c>
      <c r="C12" s="9">
        <v>12557.28</v>
      </c>
      <c r="D12" s="14" t="s">
        <v>3</v>
      </c>
      <c r="E12" s="1"/>
      <c r="F12" s="1"/>
    </row>
    <row r="13" spans="1:6" x14ac:dyDescent="0.25">
      <c r="A13" s="1"/>
      <c r="B13" s="46" t="s">
        <v>71</v>
      </c>
      <c r="C13" s="12">
        <f>SUM(C10:C12)</f>
        <v>6102115.2800000003</v>
      </c>
      <c r="D13" s="13" t="s">
        <v>3</v>
      </c>
      <c r="E13" s="1"/>
      <c r="F13" s="1"/>
    </row>
    <row r="14" spans="1:6" x14ac:dyDescent="0.25">
      <c r="A14" s="1"/>
      <c r="B14" s="46" t="s">
        <v>72</v>
      </c>
      <c r="C14" s="12">
        <f>C13*(1+'Fane 14. Nøgletal'!C12)^2</f>
        <v>6344906.7919510156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dQVTc1xSGQXNSrKCYZ0wOVgNwJsVuHyg2kKSDnMQs1REqG8U5KLshhoFkvuXELdIQpfNpmnstLVvpQEgOwYzEA==" saltValue="gZuEGgAnIrjAn7ywzhm7e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205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-405284.90666666662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-1476111.0699307807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-1881395.9765974474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2"/>
      <c r="G10" s="1"/>
    </row>
    <row r="11" spans="1:7" ht="28.5" customHeight="1" x14ac:dyDescent="0.25">
      <c r="A11" s="1"/>
      <c r="B11" s="86" t="s">
        <v>188</v>
      </c>
      <c r="C11" s="87"/>
      <c r="D11" s="87"/>
      <c r="E11" s="87"/>
      <c r="F11" s="8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17611906.88791896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15989178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1622728.8879189603</v>
      </c>
      <c r="F18" s="17" t="s">
        <v>3</v>
      </c>
      <c r="G18" s="1"/>
    </row>
    <row r="19" spans="1:7" x14ac:dyDescent="0.25">
      <c r="A19" s="1"/>
      <c r="B19" s="46"/>
      <c r="C19" s="47"/>
      <c r="D19" s="47"/>
      <c r="E19" s="47"/>
      <c r="F19" s="22"/>
      <c r="G19" s="1"/>
    </row>
    <row r="20" spans="1:7" ht="30" customHeight="1" x14ac:dyDescent="0.25">
      <c r="A20" s="1"/>
      <c r="B20" s="86" t="s">
        <v>189</v>
      </c>
      <c r="C20" s="87"/>
      <c r="D20" s="87"/>
      <c r="E20" s="87"/>
      <c r="F20" s="8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17055991.904539552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17422333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-366341.09546044841</v>
      </c>
      <c r="F27" s="17" t="s">
        <v>3</v>
      </c>
      <c r="G27" s="1"/>
    </row>
    <row r="28" spans="1:7" x14ac:dyDescent="0.25">
      <c r="A28" s="1"/>
      <c r="B28" s="46"/>
      <c r="C28" s="47"/>
      <c r="D28" s="47"/>
      <c r="E28" s="47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240</v>
      </c>
      <c r="C31" s="96"/>
      <c r="D31" s="96"/>
      <c r="E31" s="96"/>
      <c r="F31" s="97"/>
      <c r="G31" s="1"/>
    </row>
    <row r="32" spans="1:7" x14ac:dyDescent="0.25">
      <c r="A32" s="1"/>
      <c r="B32" s="106" t="s">
        <v>241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-129333.54433924356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-366341.09546044841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-183170.54773022421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RIJjV3378B540P6Dr9mh68ZzLHqKNbBNFwnDuZdrLNu3R3IfkkVJiqhBR4yg3hfbshIwWKsszXNXOW2g6gv9mg==" saltValue="4bIaAZpRU96SimaqLBTHuA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228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92" t="s">
        <v>164</v>
      </c>
      <c r="C9" s="93"/>
      <c r="D9" s="94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20517.084726598609</v>
      </c>
      <c r="F9" s="11" t="s">
        <v>3</v>
      </c>
      <c r="G9" s="1"/>
    </row>
    <row r="10" spans="1:7" x14ac:dyDescent="0.25">
      <c r="A10" s="1"/>
      <c r="B10" s="46" t="s">
        <v>175</v>
      </c>
      <c r="C10" s="47"/>
      <c r="D10" s="47"/>
      <c r="E10" s="12">
        <f>E9</f>
        <v>20517.084726598609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OrPk9ZQgbseY2HJo20dQixvBIK2CJzlk1Eo0sybvAYQhZFCdABV0C4NkWYSc5at9ZvAF7qwPNWq1l6hvvFdyQQ==" saltValue="O8zHu0bsJ2WtZ0DHZm9PN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x14ac:dyDescent="0.25">
      <c r="A10" s="1"/>
      <c r="B10" s="115" t="s">
        <v>234</v>
      </c>
      <c r="C10" s="11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5" t="s">
        <v>231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VykC2MQkFRpe3zRbi8Ett2nSuLv1DbK60BY+Md0o1oAit+LkUFixtfdCYTUn9JRhlGhaf95jzKqVhtFJ09yecA==" saltValue="PxNZH0fhfuuUZEjnPEdFV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235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6" t="s">
        <v>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BjV0VpWPsXhPTfCqUhulAsFffcKUtpbjb35I2K/NDDgdWMAC6W8h50rw3xf1gdzwetsrYxaX1jqeLudRjDL2gg==" saltValue="ugettSi2+KJTtucqwE1EG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239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25">
      <c r="A18" s="1"/>
      <c r="B18" s="27" t="s">
        <v>239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25">
      <c r="A26" s="1"/>
      <c r="B26" s="27" t="s">
        <v>239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25">
      <c r="A34" s="1"/>
      <c r="B34" s="27" t="s">
        <v>239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bo/YeVY91/45N6T3zZUiOTXz1OXWmYubSij0pAemaoJJC9dQG3c/SBjrKp7Pv2COuwBKmACsPgT73wAue/ENOQ==" saltValue="fGnPVFfjiFC4gXCHbthOw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208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32</v>
      </c>
      <c r="C9" s="92" t="s">
        <v>16</v>
      </c>
      <c r="D9" s="94"/>
      <c r="E9" s="92" t="s">
        <v>47</v>
      </c>
      <c r="F9" s="94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fmXhCKObuKTpty/hPPeMCATw2OmtGT5JCnjbfPifhc7BZYJBX3okQkz7QbMLEQjMgHWS6WVBgp7wH1YSYEq6ng==" saltValue="rHKSLxdHwVuKkuQ9olmtZ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209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stq4U/K7NHjL0+aa7wECyNaliyT5tP3pZPZx8z/ZAL2Vt9Qsb76xi8UBSrib+2roJkpEZ31GudrgBhTQmoS/Rg==" saltValue="gLb/ustZV5jGJ/Dm18vaD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310647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-248534.62169312168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62112.378306878323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-62112.378306878323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EQ0qL9BWtrGl8N34oj/OFugww06ZR0yA0bhNYxyJw5xZF/euH/A/k/zzrt50amtug+638plp1GjVI5CvpTy1gg==" saltValue="ejqYKmLCyr9ONyCnqHZts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2" t="s">
        <v>54</v>
      </c>
      <c r="C3" s="82"/>
      <c r="D3" s="1"/>
    </row>
    <row r="4" spans="1:4" ht="25.5" customHeight="1" x14ac:dyDescent="0.25">
      <c r="A4" s="1"/>
      <c r="B4" s="82"/>
      <c r="C4" s="8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46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6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46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nPSSZdACaypzhO7uOKTdeBB6u/SUErOISpkzC7n9Y4Dwx3du+7hI0yJlOytVpfhx36mFp/DCPILnmbQ+bdAFMQ==" saltValue="ySOWgyeVliDitiCDHa6Q0g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x14ac:dyDescent="0.25">
      <c r="A9" s="1"/>
      <c r="B9" s="45" t="s">
        <v>34</v>
      </c>
      <c r="C9" s="7">
        <f>'Fane 3. Omkostninger i ØR2019'!E22</f>
        <v>11732566.027372995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198280.36586260359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-72341.910133816884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-110394.08324049889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-60476.656726654292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11687633.743134629</v>
      </c>
      <c r="D20" s="11" t="s">
        <v>3</v>
      </c>
      <c r="E20" s="1"/>
    </row>
    <row r="21" spans="1:5" ht="15" customHeight="1" x14ac:dyDescent="0.25">
      <c r="A21" s="1"/>
      <c r="B21" s="46" t="s">
        <v>17</v>
      </c>
      <c r="C21" s="47"/>
      <c r="D21" s="22"/>
      <c r="E21" s="1"/>
    </row>
    <row r="22" spans="1:5" ht="15" customHeight="1" x14ac:dyDescent="0.25">
      <c r="A22" s="1"/>
      <c r="B22" s="40" t="s">
        <v>17</v>
      </c>
      <c r="C22" s="10">
        <f>'Fane 6. Ikke-påvirkelige omk.'!C14</f>
        <v>6344906.7919510156</v>
      </c>
      <c r="D22" s="11" t="s">
        <v>3</v>
      </c>
      <c r="E22" s="1"/>
    </row>
    <row r="23" spans="1:5" ht="15" customHeight="1" x14ac:dyDescent="0.25">
      <c r="A23" s="1"/>
      <c r="B23" s="46" t="s">
        <v>142</v>
      </c>
      <c r="C23" s="47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6" t="s">
        <v>11</v>
      </c>
      <c r="C27" s="47"/>
      <c r="D27" s="22"/>
      <c r="E27" s="1"/>
    </row>
    <row r="28" spans="1:5" ht="15" customHeight="1" x14ac:dyDescent="0.25">
      <c r="A28" s="1"/>
      <c r="B28" s="40" t="s">
        <v>19</v>
      </c>
      <c r="C28" s="10">
        <f>'Fane 13. Hist. over-underdæk.'!G14</f>
        <v>-62112.378306878323</v>
      </c>
      <c r="D28" s="11" t="s">
        <v>3</v>
      </c>
      <c r="E28" s="1"/>
    </row>
    <row r="29" spans="1:5" ht="15" customHeight="1" x14ac:dyDescent="0.25">
      <c r="A29" s="1"/>
      <c r="B29" s="46" t="s">
        <v>53</v>
      </c>
      <c r="C29" s="47"/>
      <c r="D29" s="22"/>
      <c r="E29" s="1"/>
    </row>
    <row r="30" spans="1:5" x14ac:dyDescent="0.25">
      <c r="A30" s="1"/>
      <c r="B30" s="40" t="s">
        <v>218</v>
      </c>
      <c r="C30" s="10">
        <f>'Fane 7. Kontrol af ØR2018'!E32</f>
        <v>-129333.54433924356</v>
      </c>
      <c r="D30" s="11" t="s">
        <v>3</v>
      </c>
      <c r="E30" s="1"/>
    </row>
    <row r="31" spans="1:5" x14ac:dyDescent="0.25">
      <c r="A31" s="1"/>
      <c r="B31" s="46" t="s">
        <v>225</v>
      </c>
      <c r="C31" s="47"/>
      <c r="D31" s="22"/>
      <c r="E31" s="1"/>
    </row>
    <row r="32" spans="1:5" x14ac:dyDescent="0.25">
      <c r="A32" s="1"/>
      <c r="B32" s="40" t="s">
        <v>226</v>
      </c>
      <c r="C32" s="10">
        <f>'Fane 8. Korrektioner'!E10</f>
        <v>20517.084726598609</v>
      </c>
      <c r="D32" s="11" t="s">
        <v>3</v>
      </c>
      <c r="E32" s="1"/>
    </row>
    <row r="33" spans="1:5" x14ac:dyDescent="0.25">
      <c r="A33" s="1"/>
      <c r="B33" s="46" t="s">
        <v>35</v>
      </c>
      <c r="C33" s="33">
        <f>SUM(C20,C22,C26,C28,C30,C32)</f>
        <v>17861611.697166122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p11b9NhtsV54Taw+CpIcZB4uvoVewinhszOECRF7NgpJjL15v5ZRTU/yHAXlfKniECsbAHlYa7yiorphlI54Dg==" saltValue="Hnt/WEkgA5AxnKfheppjS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ht="15" customHeight="1" x14ac:dyDescent="0.25">
      <c r="A9" s="1"/>
      <c r="B9" s="45" t="s">
        <v>36</v>
      </c>
      <c r="C9" s="7">
        <f>'Fane 2.1. Økonomisk ramme 2020'!C20</f>
        <v>11687633.743134629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230246.38473975219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-72263.290028200223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-110317.46974672997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-199555.8149337025</v>
      </c>
      <c r="D15" s="8" t="s">
        <v>3</v>
      </c>
      <c r="E15" s="1"/>
    </row>
    <row r="16" spans="1:5" ht="15" customHeight="1" x14ac:dyDescent="0.25">
      <c r="A16" s="1"/>
      <c r="B16" s="39" t="s">
        <v>28</v>
      </c>
      <c r="C16" s="10">
        <f>SUM(C9:C15)</f>
        <v>11535743.553165751</v>
      </c>
      <c r="D16" s="11" t="s">
        <v>3</v>
      </c>
      <c r="E16" s="1"/>
    </row>
    <row r="17" spans="1:5" x14ac:dyDescent="0.25">
      <c r="A17" s="1"/>
      <c r="B17" s="46" t="s">
        <v>17</v>
      </c>
      <c r="C17" s="47"/>
      <c r="D17" s="22"/>
      <c r="E17" s="1"/>
    </row>
    <row r="18" spans="1:5" ht="15" customHeight="1" x14ac:dyDescent="0.25">
      <c r="A18" s="1"/>
      <c r="B18" s="40" t="s">
        <v>17</v>
      </c>
      <c r="C18" s="10">
        <f>'Fane 6. Ikke-påvirkelige omk.'!C14*(1+'Fane 14. Nøgletal'!C12)</f>
        <v>6469901.455752451</v>
      </c>
      <c r="D18" s="11" t="s">
        <v>3</v>
      </c>
      <c r="E18" s="1"/>
    </row>
    <row r="19" spans="1:5" ht="15" customHeight="1" x14ac:dyDescent="0.25">
      <c r="A19" s="1"/>
      <c r="B19" s="46" t="s">
        <v>142</v>
      </c>
      <c r="C19" s="47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6" t="s">
        <v>160</v>
      </c>
      <c r="C23" s="47"/>
      <c r="D23" s="22"/>
      <c r="E23" s="1"/>
    </row>
    <row r="24" spans="1:5" ht="15" customHeight="1" x14ac:dyDescent="0.25">
      <c r="A24" s="1"/>
      <c r="B24" s="40" t="s">
        <v>195</v>
      </c>
      <c r="C24" s="10">
        <f>'Fane 7. Kontrol af ØR2018'!E39</f>
        <v>-183170.54773022421</v>
      </c>
      <c r="D24" s="11" t="s">
        <v>3</v>
      </c>
      <c r="E24" s="1"/>
    </row>
    <row r="25" spans="1:5" x14ac:dyDescent="0.25">
      <c r="A25" s="1"/>
      <c r="B25" s="46" t="s">
        <v>44</v>
      </c>
      <c r="C25" s="12">
        <f>SUM(C16,C18,C22,C24)</f>
        <v>17822474.461187981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ZVz0lGUyNG3YhJTN7Zj0QS5nqhBibGfDPBb110ZF4xlZXVmO4cKSFfd/mYGSBdyj5HDaGY0WgNleWePj16Xo6A==" saltValue="X9roWTUteUVLJDr8a6rEj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36</v>
      </c>
      <c r="C8" s="7">
        <f>'Fane 2.2. Økonomisk ramme 2021'!C16</f>
        <v>11535743.553165751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227254.14799736527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-71324.170520232496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-110240.90942272574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-197708.03185644018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11383724.589363717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omk.'!C14*(1+'Fane 14. Nøgletal'!C12)^2</f>
        <v>6597358.5144307744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160</v>
      </c>
      <c r="C22" s="47"/>
      <c r="D22" s="22"/>
      <c r="E22" s="1"/>
    </row>
    <row r="23" spans="1:5" ht="15" customHeight="1" x14ac:dyDescent="0.25">
      <c r="A23" s="1"/>
      <c r="B23" s="40" t="s">
        <v>195</v>
      </c>
      <c r="C23" s="10">
        <f>'Fane 2.2. Økonomisk ramme 2021'!C24</f>
        <v>-183170.54773022421</v>
      </c>
      <c r="D23" s="11" t="s">
        <v>3</v>
      </c>
      <c r="E23" s="1"/>
    </row>
    <row r="24" spans="1:5" x14ac:dyDescent="0.25">
      <c r="A24" s="1"/>
      <c r="B24" s="46" t="s">
        <v>45</v>
      </c>
      <c r="C24" s="12">
        <f>SUM(C15,C17,C21,C23)</f>
        <v>17797912.55606427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ux+un6SSnXUK4Lw81zPy/tj9hDrWdfWHNWywghi22QrIKgne2CcsLqFehBoVMeZfQbxMPum49CdgjrRRLI8RUA==" saltValue="y1dBEaWlcxdz72noGUHY7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37</v>
      </c>
      <c r="C8" s="7">
        <f>'Fane 2.3. Økonomisk ramme 2022'!C15</f>
        <v>11383724.589363717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224259.37441046521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-70384.254818522066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-110164.40223158637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-195877.35828962614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11231557.948434448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omk.'!C14*(1+'Fane 14. Nøgletal'!C12)^3</f>
        <v>6727326.4771650601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154</v>
      </c>
      <c r="C22" s="12">
        <f>SUM(C15,C17,C21)</f>
        <v>17958884.425599508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ZHIf0HluoA6duKmYGSayrYnaXvS1gwaiLuGp8p1i4cHNRb1JXCxBULK6CYYNaG2Q0GuF7oFiFuawgsLnAeXmzg==" saltValue="ekHHZT5wdgaCHR8Xc8Qbb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221</v>
      </c>
      <c r="C3" s="82"/>
      <c r="D3" s="82"/>
      <c r="E3" s="82"/>
      <c r="F3" s="82"/>
      <c r="G3" s="1"/>
    </row>
    <row r="4" spans="1:7" ht="29.2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84</v>
      </c>
      <c r="C8" s="47"/>
      <c r="D8" s="47"/>
      <c r="E8" s="47"/>
      <c r="F8" s="22"/>
      <c r="G8" s="1"/>
    </row>
    <row r="9" spans="1:7" x14ac:dyDescent="0.25">
      <c r="A9" s="1"/>
      <c r="B9" s="83" t="s">
        <v>81</v>
      </c>
      <c r="C9" s="84"/>
      <c r="D9" s="85"/>
      <c r="E9" s="7">
        <v>11305064.543839552</v>
      </c>
      <c r="F9" s="8" t="s">
        <v>3</v>
      </c>
      <c r="G9" s="1"/>
    </row>
    <row r="10" spans="1:7" x14ac:dyDescent="0.25">
      <c r="A10" s="1"/>
      <c r="B10" s="83" t="s">
        <v>82</v>
      </c>
      <c r="C10" s="84"/>
      <c r="D10" s="85"/>
      <c r="E10" s="7">
        <v>-19764.104951032783</v>
      </c>
      <c r="F10" s="8" t="s">
        <v>3</v>
      </c>
      <c r="G10" s="1"/>
    </row>
    <row r="11" spans="1:7" x14ac:dyDescent="0.25">
      <c r="A11" s="1"/>
      <c r="B11" s="83" t="s">
        <v>83</v>
      </c>
      <c r="C11" s="84"/>
      <c r="D11" s="85"/>
      <c r="E11" s="7">
        <v>115252.59909370808</v>
      </c>
      <c r="F11" s="8" t="s">
        <v>3</v>
      </c>
      <c r="G11" s="1"/>
    </row>
    <row r="12" spans="1:7" x14ac:dyDescent="0.25">
      <c r="A12" s="1"/>
      <c r="B12" s="74" t="s">
        <v>67</v>
      </c>
      <c r="C12" s="75"/>
      <c r="D12" s="76"/>
      <c r="E12" s="7">
        <v>181894.9368</v>
      </c>
      <c r="F12" s="8" t="s">
        <v>3</v>
      </c>
      <c r="G12" s="1"/>
    </row>
    <row r="13" spans="1:7" x14ac:dyDescent="0.25">
      <c r="A13" s="1"/>
      <c r="B13" s="74" t="s">
        <v>68</v>
      </c>
      <c r="C13" s="75"/>
      <c r="D13" s="76"/>
      <c r="E13" s="9">
        <v>194471.95599999998</v>
      </c>
      <c r="F13" s="8" t="s">
        <v>3</v>
      </c>
      <c r="G13" s="1"/>
    </row>
    <row r="14" spans="1:7" x14ac:dyDescent="0.25">
      <c r="A14" s="1"/>
      <c r="B14" s="74" t="s">
        <v>41</v>
      </c>
      <c r="C14" s="75"/>
      <c r="D14" s="76"/>
      <c r="E14" s="9">
        <v>0</v>
      </c>
      <c r="F14" s="8" t="s">
        <v>3</v>
      </c>
      <c r="G14" s="1"/>
    </row>
    <row r="15" spans="1:7" x14ac:dyDescent="0.25">
      <c r="A15" s="1"/>
      <c r="B15" s="74" t="s">
        <v>40</v>
      </c>
      <c r="C15" s="75"/>
      <c r="D15" s="76"/>
      <c r="E15" s="9">
        <v>0</v>
      </c>
      <c r="F15" s="8" t="s">
        <v>3</v>
      </c>
      <c r="G15" s="1"/>
    </row>
    <row r="16" spans="1:7" x14ac:dyDescent="0.25">
      <c r="A16" s="1"/>
      <c r="B16" s="74" t="s">
        <v>43</v>
      </c>
      <c r="C16" s="75"/>
      <c r="D16" s="76"/>
      <c r="E16" s="9">
        <v>0</v>
      </c>
      <c r="F16" s="8" t="s">
        <v>3</v>
      </c>
      <c r="G16" s="1"/>
    </row>
    <row r="17" spans="1:7" x14ac:dyDescent="0.25">
      <c r="A17" s="1"/>
      <c r="B17" s="74" t="s">
        <v>42</v>
      </c>
      <c r="C17" s="75"/>
      <c r="D17" s="76"/>
      <c r="E17" s="9">
        <v>0</v>
      </c>
      <c r="F17" s="8" t="s">
        <v>3</v>
      </c>
      <c r="G17" s="1"/>
    </row>
    <row r="18" spans="1:7" x14ac:dyDescent="0.25">
      <c r="A18" s="1"/>
      <c r="B18" s="74" t="s">
        <v>26</v>
      </c>
      <c r="C18" s="75"/>
      <c r="D18" s="76"/>
      <c r="E18" s="9">
        <f>SUM(E9:E17)*'Fane 14. Nøgletal'!C11</f>
        <v>199029.94683021959</v>
      </c>
      <c r="F18" s="8" t="s">
        <v>3</v>
      </c>
      <c r="G18" s="1"/>
    </row>
    <row r="19" spans="1:7" x14ac:dyDescent="0.25">
      <c r="A19" s="1"/>
      <c r="B19" s="74" t="s">
        <v>10</v>
      </c>
      <c r="C19" s="75"/>
      <c r="D19" s="76"/>
      <c r="E19" s="9">
        <f>-SUM(E9:E18)*'Fane 5. Individuelt eff. krav'!G10</f>
        <v>-72615.392174065244</v>
      </c>
      <c r="F19" s="8" t="s">
        <v>3</v>
      </c>
      <c r="G19" s="1"/>
    </row>
    <row r="20" spans="1:7" x14ac:dyDescent="0.25">
      <c r="A20" s="1"/>
      <c r="B20" s="74" t="s">
        <v>38</v>
      </c>
      <c r="C20" s="75"/>
      <c r="D20" s="76"/>
      <c r="E20" s="9">
        <f>-'Fane 4.1. Gen. krav - drift'!G20</f>
        <v>-110774.92744104119</v>
      </c>
      <c r="F20" s="8" t="s">
        <v>3</v>
      </c>
      <c r="G20" s="1"/>
    </row>
    <row r="21" spans="1:7" x14ac:dyDescent="0.25">
      <c r="A21" s="1"/>
      <c r="B21" s="74" t="s">
        <v>39</v>
      </c>
      <c r="C21" s="75"/>
      <c r="D21" s="76"/>
      <c r="E21" s="9">
        <f>-'Fane 4.2. Gen. krav - anlæg'!G19</f>
        <v>-59993.530624342384</v>
      </c>
      <c r="F21" s="8" t="s">
        <v>3</v>
      </c>
      <c r="G21" s="1"/>
    </row>
    <row r="22" spans="1:7" x14ac:dyDescent="0.25">
      <c r="A22" s="1"/>
      <c r="B22" s="89" t="s">
        <v>28</v>
      </c>
      <c r="C22" s="90"/>
      <c r="D22" s="91"/>
      <c r="E22" s="10">
        <f>SUM(E9:E21)</f>
        <v>11732566.027372995</v>
      </c>
      <c r="F22" s="11" t="s">
        <v>3</v>
      </c>
      <c r="G22" s="1"/>
    </row>
    <row r="23" spans="1:7" x14ac:dyDescent="0.25">
      <c r="A23" s="1"/>
      <c r="B23" s="77" t="s">
        <v>17</v>
      </c>
      <c r="C23" s="78"/>
      <c r="D23" s="78"/>
      <c r="E23" s="47"/>
      <c r="F23" s="22"/>
      <c r="G23" s="1"/>
    </row>
    <row r="24" spans="1:7" x14ac:dyDescent="0.25">
      <c r="A24" s="1"/>
      <c r="B24" s="79" t="s">
        <v>17</v>
      </c>
      <c r="C24" s="80"/>
      <c r="D24" s="81"/>
      <c r="E24" s="10">
        <v>5732609.7259621089</v>
      </c>
      <c r="F24" s="11" t="s">
        <v>3</v>
      </c>
      <c r="G24" s="1"/>
    </row>
    <row r="25" spans="1:7" x14ac:dyDescent="0.2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25">
      <c r="A26" s="1"/>
      <c r="B26" s="92" t="s">
        <v>132</v>
      </c>
      <c r="C26" s="93"/>
      <c r="D26" s="94"/>
      <c r="E26" s="10">
        <v>27749.025966598907</v>
      </c>
      <c r="F26" s="11" t="s">
        <v>3</v>
      </c>
      <c r="G26" s="1"/>
    </row>
    <row r="27" spans="1:7" x14ac:dyDescent="0.25">
      <c r="A27" s="1"/>
      <c r="B27" s="46" t="s">
        <v>11</v>
      </c>
      <c r="C27" s="47"/>
      <c r="D27" s="47"/>
      <c r="E27" s="47"/>
      <c r="F27" s="22"/>
      <c r="G27" s="1"/>
    </row>
    <row r="28" spans="1:7" x14ac:dyDescent="0.25">
      <c r="A28" s="1"/>
      <c r="B28" s="79" t="s">
        <v>19</v>
      </c>
      <c r="C28" s="80"/>
      <c r="D28" s="81"/>
      <c r="E28" s="10">
        <v>-62113</v>
      </c>
      <c r="F28" s="11" t="s">
        <v>3</v>
      </c>
      <c r="G28" s="1"/>
    </row>
    <row r="29" spans="1:7" x14ac:dyDescent="0.25">
      <c r="A29" s="1"/>
      <c r="B29" s="46" t="s">
        <v>160</v>
      </c>
      <c r="C29" s="47"/>
      <c r="D29" s="47"/>
      <c r="E29" s="47"/>
      <c r="F29" s="22"/>
      <c r="G29" s="1"/>
    </row>
    <row r="30" spans="1:7" x14ac:dyDescent="0.25">
      <c r="A30" s="1"/>
      <c r="B30" s="79" t="s">
        <v>131</v>
      </c>
      <c r="C30" s="80"/>
      <c r="D30" s="81"/>
      <c r="E30" s="10">
        <v>-150765.23856928764</v>
      </c>
      <c r="F30" s="11" t="s">
        <v>3</v>
      </c>
      <c r="G30" s="1"/>
    </row>
    <row r="31" spans="1:7" x14ac:dyDescent="0.25">
      <c r="A31" s="1"/>
      <c r="B31" s="46" t="s">
        <v>23</v>
      </c>
      <c r="C31" s="47"/>
      <c r="D31" s="47"/>
      <c r="E31" s="12">
        <f>SUM(E28,E26,E24,E22,E30)</f>
        <v>17280046.540732414</v>
      </c>
      <c r="F31" s="13" t="s">
        <v>3</v>
      </c>
      <c r="G31" s="1"/>
    </row>
    <row r="32" spans="1:7" ht="28.15" customHeight="1" x14ac:dyDescent="0.25">
      <c r="A32" s="1"/>
      <c r="B32" s="86" t="s">
        <v>189</v>
      </c>
      <c r="C32" s="87"/>
      <c r="D32" s="87"/>
      <c r="E32" s="87"/>
      <c r="F32" s="88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lQBlJFcHo/353e0BA2VYQEPJYHd9QuYeRkE2NDAZHQ3bfCYpg4SNbzrqkEte/rMZNbrjeG3Qs21xUilS+9sbzA==" saltValue="XJKjwNufAQ+g9jI4tvngwg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5433459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108669.18000000001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5392414.6507139998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107848.29301428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5373875.529144845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-20098.118324705236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184968.96123191997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110774.92744104119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5519704.1620249441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110394.08324049889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5515873.4873364987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110317.46974672997</v>
      </c>
      <c r="H32" s="14" t="s">
        <v>3</v>
      </c>
      <c r="I32" s="1"/>
    </row>
    <row r="33" spans="1:9" x14ac:dyDescent="0.2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5512045.4711362869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110240.90942272574</v>
      </c>
      <c r="H38" s="14" t="s">
        <v>3</v>
      </c>
      <c r="I38" s="1"/>
    </row>
    <row r="39" spans="1:9" x14ac:dyDescent="0.2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5508220.1115793185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110164.40223158637</v>
      </c>
      <c r="H44" s="14" t="s">
        <v>3</v>
      </c>
      <c r="I44" s="1"/>
    </row>
    <row r="45" spans="1:9" x14ac:dyDescent="0.2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4JUitv+Y/GBGta760ROstj+ufGElKJB9PvpuZGQQPDYHAC3blGThmx3MxEjd8WGiUPeFWFRvgYhNQeWc2DWY7g==" saltValue="UsplcRn07Kh1VdHasGJXWg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6508235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59224.938500000004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6530912.489281049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59431.303652457551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6580849.2176657133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117200.36801839173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197758.53205639994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59993.530624342384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6951339.8536384245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0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60476.656726654292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7026613.2018909324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199555.8149337025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6961550.4174802881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197708.03185644018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6897090.0806206381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195877.35828962614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peNOXpmJEj7ZRk/acsUHOxhwN6xf3sUG0nCf+KmfumRQoAyHKVICHoNktn8N1pA4vIzVWRdWVXx2azQhgvHDaw==" saltValue="MP6vr4gDXRgbzfQnHGY1sA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1.9821286582572355E-2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6.0634348770789966E-3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0ddR/N4nRbfXUh6dAq7U1LzKWpEaJcTZeLgqihWpikcwpvn5fM2i7lNY1BQc0ss3URvONMKwCU4lncD8BzVRfg==" saltValue="QxUFNpf2X+8ZQiWbUoXqg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2019-08-30T08:58:19Z</dcterms:modified>
</cp:coreProperties>
</file>