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Vandforsyningen Brovst og Omegn (V200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4" i="27" s="1"/>
  <c r="E9" i="2" l="1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2" i="19"/>
  <c r="C13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<sst xmlns="http://schemas.openxmlformats.org/spreadsheetml/2006/main" count="423" uniqueCount="163">
  <si>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</si>
  <si>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</si>
  <si>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</si>
  <si>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</si>
  <si>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</si>
  <si>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</si>
  <si>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</si>
  <si>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</si>
  <si>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</si>
  <si>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</si>
  <si>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</si>
  <si>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</si>
  <si>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</si>
  <si>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</si>
  <si>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</si>
  <si>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</si>
  <si>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</si>
  <si>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</si>
  <si>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</si>
  <si>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</si>
  <si>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</si>
  <si>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</si>
  <si>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</si>
  <si>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</si>
  <si>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</si>
  <si>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</si>
  <si>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</si>
  <si>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</si>
  <si>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</si>
  <si>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</si>
  <si>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</si>
  <si>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</si>
  <si>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</si>
  <si>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</si>
  <si>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</si>
  <si>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</si>
  <si>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</si>
  <si>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</si>
  <si>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</si>
  <si>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</si>
  <si>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</si>
  <si>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</si>
  <si>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</si>
  <si>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</si>
  <si>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</si>
  <si>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</si>
  <si>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</si>
  <si>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</si>
  <si>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</si>
  <si>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</si>
  <si>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</si>
  <si>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</si>
  <si>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</si>
  <si>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</si>
  <si>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</si>
  <si>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</si>
  <si>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</si>
  <si>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</si>
  <si>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</si>
  <si>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</si>
  <si>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</si>
  <si>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</si>
  <si>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</si>
  <si>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</si>
  <si>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</si>
  <si>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</si>
  <si>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</si>
  <si>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</si>
  <si>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</si>
  <si>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</si>
  <si>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</si>
  <si>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</si>
  <si>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</si>
  <si>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</si>
  <si>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</si>
  <si>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</si>
  <si>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</si>
  <si>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</si>
  <si>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</si>
  <si>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</si>
  <si>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</si>
  <si>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</si>
  <si>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</si>
  <si>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</si>
  <si>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</si>
  <si>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</si>
  <si>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</si>
  <si>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</si>
  <si>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</si>
  <si>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</si>
  <si>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</si>
  <si>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</si>
  <si>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</si>
  <si>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</si>
  <si>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</si>
  <si>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</si>
  <si>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</si>
  <si>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</si>
  <si>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</si>
  <si>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</si>
  <si>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</si>
  <si>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</si>
  <si>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</si>
  <si>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</si>
  <si>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</si>
  <si>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</si>
  <si>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</si>
  <si>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</si>
  <si>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</si>
  <si>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</si>
  <si>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</si>
  <si>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</si>
  <si>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</si>
  <si>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</si>
  <si>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</si>
  <si>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</si>
  <si>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</si>
  <si>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</si>
  <si>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</si>
  <si>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</si>
  <si>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</si>
  <si>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</si>
  <si>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</si>
  <si>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</si>
  <si>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</si>
  <si>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</si>
  <si>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</si>
  <si>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</si>
  <si>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</si>
  <si>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</si>
  <si>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</si>
  <si>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</si>
  <si>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</si>
  <si>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</si>
  <si>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</si>
  <si>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</si>
  <si>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</si>
  <si>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</si>
  <si>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</si>
  <si>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</si>
  <si>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</si>
  <si>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</si>
  <si>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</si>
  <si>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</si>
  <si>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</si>
  <si>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</si>
  <si>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</si>
  <si>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</si>
  <si>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</si>
  <si>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</si>
  <si>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</si>
  <si>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</si>
  <si>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</si>
  <si>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</si>
  <si>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</si>
  <si>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</si>
  <si>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</si>
  <si>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</si>
  <si>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Afgift til Forsyningssekretariatet</t>
  </si>
  <si>
    <t>Erstatninger</t>
  </si>
  <si>
    <t>Grundvandssikring ved skovrejsning</t>
  </si>
  <si>
    <t>Ingen engangstillæg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</si>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</sst>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1" t="s">
        <v>4</v>
      </c>
      <c r="E6" s="61"/>
      <c r="F6" s="61"/>
      <c r="G6" s="61"/>
      <c r="H6" s="3"/>
      <c r="I6" s="1"/>
    </row>
    <row r="7" spans="1:9" ht="15" customHeight="1" x14ac:dyDescent="0.25">
      <c r="A7" s="1"/>
      <c r="B7" s="1"/>
      <c r="C7" s="3"/>
      <c r="D7" s="61"/>
      <c r="E7" s="61"/>
      <c r="F7" s="61"/>
      <c r="G7" s="61"/>
      <c r="H7" s="3"/>
      <c r="I7" s="1"/>
    </row>
    <row r="8" spans="1:9" ht="15.75" x14ac:dyDescent="0.25">
      <c r="A8" s="1"/>
      <c r="B8" s="1"/>
      <c r="C8" s="4"/>
      <c r="D8" s="63" t="s">
        <v>116</v>
      </c>
      <c r="E8" s="63"/>
      <c r="F8" s="63"/>
      <c r="G8" s="63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2" t="s">
        <v>5</v>
      </c>
      <c r="E11" s="62"/>
      <c r="F11" s="62"/>
      <c r="G11" s="62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8" t="s">
        <v>49</v>
      </c>
      <c r="E13" s="59"/>
      <c r="F13" s="59"/>
      <c r="G13" s="60"/>
      <c r="H13" s="1"/>
      <c r="I13" s="1"/>
    </row>
    <row r="14" spans="1:9" x14ac:dyDescent="0.25">
      <c r="A14" s="1"/>
      <c r="B14" s="1"/>
      <c r="C14" s="6" t="s">
        <v>22</v>
      </c>
      <c r="D14" s="58" t="s">
        <v>117</v>
      </c>
      <c r="E14" s="59"/>
      <c r="F14" s="59"/>
      <c r="G14" s="60"/>
      <c r="H14" s="1"/>
      <c r="I14" s="1"/>
    </row>
    <row r="15" spans="1:9" x14ac:dyDescent="0.25">
      <c r="A15" s="1"/>
      <c r="B15" s="1"/>
      <c r="C15" s="6" t="s">
        <v>48</v>
      </c>
      <c r="D15" s="58" t="s">
        <v>75</v>
      </c>
      <c r="E15" s="59"/>
      <c r="F15" s="59"/>
      <c r="G15" s="60"/>
      <c r="H15" s="1"/>
      <c r="I15" s="1"/>
    </row>
    <row r="16" spans="1:9" x14ac:dyDescent="0.25">
      <c r="A16" s="1"/>
      <c r="B16" s="1"/>
      <c r="C16" s="6" t="s">
        <v>50</v>
      </c>
      <c r="D16" s="58" t="s">
        <v>76</v>
      </c>
      <c r="E16" s="59"/>
      <c r="F16" s="59"/>
      <c r="G16" s="60"/>
      <c r="H16" s="1"/>
      <c r="I16" s="1"/>
    </row>
    <row r="17" spans="1:9" x14ac:dyDescent="0.25">
      <c r="A17" s="1"/>
      <c r="B17" s="1"/>
      <c r="C17" s="6" t="s">
        <v>139</v>
      </c>
      <c r="D17" s="58" t="s">
        <v>57</v>
      </c>
      <c r="E17" s="59"/>
      <c r="F17" s="59"/>
      <c r="G17" s="60"/>
      <c r="H17" s="1"/>
      <c r="I17" s="1"/>
    </row>
    <row r="18" spans="1:9" x14ac:dyDescent="0.25">
      <c r="A18" s="1"/>
      <c r="B18" s="1"/>
      <c r="C18" s="6" t="s">
        <v>7</v>
      </c>
      <c r="D18" s="52" t="s">
        <v>16</v>
      </c>
      <c r="E18" s="53"/>
      <c r="F18" s="53"/>
      <c r="G18" s="54"/>
      <c r="H18" s="1"/>
      <c r="I18" s="1"/>
    </row>
    <row r="19" spans="1:9" x14ac:dyDescent="0.25">
      <c r="A19" s="1"/>
      <c r="B19" s="1"/>
      <c r="C19" s="6" t="s">
        <v>8</v>
      </c>
      <c r="D19" s="46" t="s">
        <v>97</v>
      </c>
      <c r="E19" s="47"/>
      <c r="F19" s="47"/>
      <c r="G19" s="48"/>
      <c r="H19" s="1"/>
      <c r="I19" s="1"/>
    </row>
    <row r="20" spans="1:9" x14ac:dyDescent="0.25">
      <c r="A20" s="1"/>
      <c r="B20" s="1"/>
      <c r="C20" s="6" t="s">
        <v>123</v>
      </c>
      <c r="D20" s="46" t="s">
        <v>147</v>
      </c>
      <c r="E20" s="47"/>
      <c r="F20" s="47"/>
      <c r="G20" s="48"/>
      <c r="H20" s="1"/>
      <c r="I20" s="1"/>
    </row>
    <row r="21" spans="1:9" x14ac:dyDescent="0.25">
      <c r="A21" s="1"/>
      <c r="B21" s="1"/>
      <c r="C21" s="6" t="s">
        <v>82</v>
      </c>
      <c r="D21" s="46" t="s">
        <v>51</v>
      </c>
      <c r="E21" s="47"/>
      <c r="F21" s="47"/>
      <c r="G21" s="48"/>
      <c r="H21" s="1"/>
      <c r="I21" s="1"/>
    </row>
    <row r="22" spans="1:9" x14ac:dyDescent="0.25">
      <c r="A22" s="1"/>
      <c r="B22" s="1"/>
      <c r="C22" s="6" t="s">
        <v>124</v>
      </c>
      <c r="D22" s="46" t="s">
        <v>83</v>
      </c>
      <c r="E22" s="47"/>
      <c r="F22" s="47"/>
      <c r="G22" s="48"/>
      <c r="H22" s="1"/>
      <c r="I22" s="1"/>
    </row>
    <row r="23" spans="1:9" x14ac:dyDescent="0.25">
      <c r="A23" s="1"/>
      <c r="B23" s="1"/>
      <c r="C23" s="6" t="s">
        <v>125</v>
      </c>
      <c r="D23" s="46" t="s">
        <v>84</v>
      </c>
      <c r="E23" s="47"/>
      <c r="F23" s="47"/>
      <c r="G23" s="48"/>
      <c r="H23" s="1"/>
      <c r="I23" s="1"/>
    </row>
    <row r="24" spans="1:9" x14ac:dyDescent="0.25">
      <c r="A24" s="1"/>
      <c r="B24" s="1"/>
      <c r="C24" s="6" t="s">
        <v>9</v>
      </c>
      <c r="D24" s="46" t="s">
        <v>52</v>
      </c>
      <c r="E24" s="47"/>
      <c r="F24" s="47"/>
      <c r="G24" s="48"/>
      <c r="H24" s="1"/>
      <c r="I24" s="1"/>
    </row>
    <row r="25" spans="1:9" x14ac:dyDescent="0.25">
      <c r="A25" s="1"/>
      <c r="B25" s="1"/>
      <c r="C25" s="6" t="s">
        <v>96</v>
      </c>
      <c r="D25" s="46" t="s">
        <v>53</v>
      </c>
      <c r="E25" s="47"/>
      <c r="F25" s="47"/>
      <c r="G25" s="48"/>
      <c r="H25" s="1"/>
      <c r="I25" s="1"/>
    </row>
    <row r="26" spans="1:9" x14ac:dyDescent="0.25">
      <c r="A26" s="1"/>
      <c r="B26" s="1"/>
      <c r="C26" s="6" t="s">
        <v>126</v>
      </c>
      <c r="D26" s="55" t="s">
        <v>10</v>
      </c>
      <c r="E26" s="56"/>
      <c r="F26" s="56"/>
      <c r="G26" s="57"/>
      <c r="H26" s="1"/>
      <c r="I26" s="1"/>
    </row>
    <row r="27" spans="1:9" x14ac:dyDescent="0.25">
      <c r="A27" s="1"/>
      <c r="B27" s="1"/>
      <c r="C27" s="6" t="s">
        <v>21</v>
      </c>
      <c r="D27" s="49" t="s">
        <v>127</v>
      </c>
      <c r="E27" s="50"/>
      <c r="F27" s="50"/>
      <c r="G27" s="5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S9W5Nn6XJamJmXnWrgoB47a0URAuWRX4FnTTLu84BrAJd0SWaijXy+LaR5GPyUUALhNzVRPdbASrdFegD/jP1w==" saltValue="bfIWZXjYX22dIDQfVe0+bg==" spinCount="100000" sheet="1" objects="1" scenarios="1"/>
  <mergeCells count="18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4" t="s">
        <v>151</v>
      </c>
      <c r="C3" s="64"/>
      <c r="D3" s="64"/>
      <c r="E3" s="64"/>
      <c r="F3" s="64"/>
      <c r="G3" s="64"/>
      <c r="H3" s="64"/>
      <c r="I3" s="1"/>
    </row>
    <row r="4" spans="1:9" ht="15" customHeight="1" x14ac:dyDescent="0.25">
      <c r="A4" s="1"/>
      <c r="B4" s="64"/>
      <c r="C4" s="64"/>
      <c r="D4" s="64"/>
      <c r="E4" s="64"/>
      <c r="F4" s="64"/>
      <c r="G4" s="64"/>
      <c r="H4" s="6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152</v>
      </c>
      <c r="C8" s="76"/>
      <c r="D8" s="76"/>
      <c r="E8" s="76"/>
      <c r="F8" s="76"/>
      <c r="G8" s="76"/>
      <c r="H8" s="77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4" t="s">
        <v>2</v>
      </c>
      <c r="F9" s="34" t="s">
        <v>15</v>
      </c>
      <c r="G9" s="34" t="s">
        <v>41</v>
      </c>
      <c r="H9" s="43"/>
      <c r="I9" s="1"/>
    </row>
    <row r="10" spans="1:9" x14ac:dyDescent="0.25">
      <c r="A10" s="1"/>
      <c r="B10" s="97" t="s">
        <v>156</v>
      </c>
      <c r="C10" s="98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5" t="s">
        <v>153</v>
      </c>
      <c r="C11" s="76"/>
      <c r="D11" s="77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KIxtVAnRbRY6THqQQ5L/mmMdkYYSu9UycRxjMxruFBViEdxU8x+LojS2UGHngQrUuER+N+xEQR6LKQ2pDcgJVA==" saltValue="HUtU01AaVXTlr6u8lzCxV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120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4" t="s">
        <v>79</v>
      </c>
      <c r="C8" s="24"/>
      <c r="D8" s="24"/>
      <c r="E8" s="24"/>
      <c r="F8" s="45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3"/>
      <c r="G9" s="1"/>
    </row>
    <row r="10" spans="1:7" x14ac:dyDescent="0.25">
      <c r="A10" s="1"/>
      <c r="B10" s="22" t="s">
        <v>157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4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4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+Gz9oj7dXKSX09pTgxW8qdI1xZQiiWDb81hCd1P12PfPqvON3fLCGF9jPkIryI+T04CbG/zYhpPG+ZsKPvvV7Q==" saltValue="SZepSrkSXyxhuw69LIJN4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121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102</v>
      </c>
      <c r="C8" s="76"/>
      <c r="D8" s="76"/>
      <c r="E8" s="76"/>
      <c r="F8" s="77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3"/>
      <c r="G9" s="1"/>
    </row>
    <row r="10" spans="1:7" x14ac:dyDescent="0.25">
      <c r="A10" s="1"/>
      <c r="B10" s="22" t="s">
        <v>160</v>
      </c>
      <c r="C10" s="21">
        <v>63404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4" t="s">
        <v>106</v>
      </c>
      <c r="C11" s="10">
        <f>SUM(C10:C10)</f>
        <v>63404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-1077.8680000000002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4" t="s">
        <v>107</v>
      </c>
      <c r="C13" s="10">
        <f>SUM(C11:C12)*(1+'Fane 12. Nøgletal'!C12)^2</f>
        <v>64805.969749367883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5" t="s">
        <v>103</v>
      </c>
      <c r="C15" s="76"/>
      <c r="D15" s="76"/>
      <c r="E15" s="76"/>
      <c r="F15" s="77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3"/>
      <c r="G16" s="1"/>
    </row>
    <row r="17" spans="1:7" x14ac:dyDescent="0.25">
      <c r="A17" s="1"/>
      <c r="B17" s="22" t="s">
        <v>161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4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4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5" t="s">
        <v>104</v>
      </c>
      <c r="C22" s="76"/>
      <c r="D22" s="76"/>
      <c r="E22" s="76"/>
      <c r="F22" s="77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3"/>
      <c r="G23" s="1"/>
    </row>
    <row r="24" spans="1:7" x14ac:dyDescent="0.25">
      <c r="A24" s="1"/>
      <c r="B24" s="22" t="s">
        <v>161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4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4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5" t="s">
        <v>105</v>
      </c>
      <c r="C29" s="76"/>
      <c r="D29" s="76"/>
      <c r="E29" s="76"/>
      <c r="F29" s="77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3"/>
      <c r="G30" s="1"/>
    </row>
    <row r="31" spans="1:7" x14ac:dyDescent="0.25">
      <c r="A31" s="1"/>
      <c r="B31" s="22" t="s">
        <v>161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4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4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Gpds9JMM4kSP4CMOv1+exwVdpNPseseDuRzpExvi5GbbZMazqtPy8y3Afi4XGcrp28gi4ItAV5pr2iPL2LpA+Q==" saltValue="qy5AsTuftN7AxvGI1vbmzA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134</v>
      </c>
      <c r="C3" s="69"/>
      <c r="D3" s="69"/>
      <c r="E3" s="69"/>
      <c r="F3" s="69"/>
      <c r="G3" s="1"/>
    </row>
    <row r="4" spans="1:7" ht="25.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32</v>
      </c>
      <c r="C8" s="76"/>
      <c r="D8" s="76"/>
      <c r="E8" s="76"/>
      <c r="F8" s="77"/>
      <c r="G8" s="1"/>
    </row>
    <row r="9" spans="1:7" ht="15" customHeight="1" x14ac:dyDescent="0.25">
      <c r="A9" s="1"/>
      <c r="B9" s="42" t="s">
        <v>33</v>
      </c>
      <c r="C9" s="87" t="s">
        <v>15</v>
      </c>
      <c r="D9" s="88"/>
      <c r="E9" s="87" t="s">
        <v>42</v>
      </c>
      <c r="F9" s="88"/>
      <c r="G9" s="1"/>
    </row>
    <row r="10" spans="1:7" x14ac:dyDescent="0.25">
      <c r="A10" s="1"/>
      <c r="B10" s="22" t="s">
        <v>154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kCF+Nr6P45b1J4KIEIBfwdyVKersUrW35WKMXj90kzlh0N5wVf4nj24VWjPDd1/kRBF78jAYS9zasjvjKV/kqQ==" saltValue="S+H7/8+7weuJGdsE5ozTG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135</v>
      </c>
      <c r="C3" s="69"/>
      <c r="D3" s="69"/>
      <c r="E3" s="69"/>
      <c r="F3" s="69"/>
      <c r="G3" s="1"/>
    </row>
    <row r="4" spans="1:7" ht="25.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91</v>
      </c>
      <c r="C8" s="76"/>
      <c r="D8" s="76"/>
      <c r="E8" s="76"/>
      <c r="F8" s="77"/>
      <c r="G8" s="1"/>
    </row>
    <row r="9" spans="1:7" ht="15" customHeight="1" x14ac:dyDescent="0.25">
      <c r="A9" s="1"/>
      <c r="B9" s="42" t="s">
        <v>25</v>
      </c>
      <c r="C9" s="42" t="s">
        <v>15</v>
      </c>
      <c r="D9" s="43"/>
      <c r="E9" s="42" t="s">
        <v>42</v>
      </c>
      <c r="F9" s="43"/>
      <c r="G9" s="1"/>
    </row>
    <row r="10" spans="1:7" x14ac:dyDescent="0.25">
      <c r="A10" s="1"/>
      <c r="B10" s="22" t="s">
        <v>155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4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4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5" t="s">
        <v>92</v>
      </c>
      <c r="C14" s="76"/>
      <c r="D14" s="76"/>
      <c r="E14" s="76"/>
      <c r="F14" s="77"/>
      <c r="G14" s="1"/>
    </row>
    <row r="15" spans="1:7" ht="26.25" x14ac:dyDescent="0.25">
      <c r="A15" s="1"/>
      <c r="B15" s="42" t="s">
        <v>25</v>
      </c>
      <c r="C15" s="42" t="s">
        <v>15</v>
      </c>
      <c r="D15" s="43"/>
      <c r="E15" s="42" t="s">
        <v>42</v>
      </c>
      <c r="F15" s="43"/>
      <c r="G15" s="1"/>
    </row>
    <row r="16" spans="1:7" x14ac:dyDescent="0.25">
      <c r="A16" s="1"/>
      <c r="B16" s="22" t="s">
        <v>155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4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4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5" t="s">
        <v>90</v>
      </c>
      <c r="C20" s="76"/>
      <c r="D20" s="76"/>
      <c r="E20" s="76"/>
      <c r="F20" s="77"/>
      <c r="G20" s="1"/>
    </row>
    <row r="21" spans="1:7" ht="26.25" x14ac:dyDescent="0.25">
      <c r="A21" s="1"/>
      <c r="B21" s="42" t="s">
        <v>25</v>
      </c>
      <c r="C21" s="42" t="s">
        <v>15</v>
      </c>
      <c r="D21" s="43"/>
      <c r="E21" s="42" t="s">
        <v>42</v>
      </c>
      <c r="F21" s="43"/>
      <c r="G21" s="1"/>
    </row>
    <row r="22" spans="1:7" x14ac:dyDescent="0.25">
      <c r="A22" s="1"/>
      <c r="B22" s="22" t="s">
        <v>155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4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4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5" t="s">
        <v>93</v>
      </c>
      <c r="C26" s="76"/>
      <c r="D26" s="76"/>
      <c r="E26" s="76"/>
      <c r="F26" s="77"/>
      <c r="G26" s="1"/>
    </row>
    <row r="27" spans="1:7" ht="26.25" x14ac:dyDescent="0.25">
      <c r="A27" s="1"/>
      <c r="B27" s="42" t="s">
        <v>25</v>
      </c>
      <c r="C27" s="42" t="s">
        <v>15</v>
      </c>
      <c r="D27" s="43"/>
      <c r="E27" s="42" t="s">
        <v>42</v>
      </c>
      <c r="F27" s="43"/>
      <c r="G27" s="1"/>
    </row>
    <row r="28" spans="1:7" x14ac:dyDescent="0.25">
      <c r="A28" s="1"/>
      <c r="B28" s="22" t="s">
        <v>155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4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4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mv5H29cUUT+OwWLjGe9Vmx3Jw2AriHe8Bzf/jMmFqemUniD46Z3a6Vn8RhmB/PkB+oAXe1pjjB9f7H+F/DLa/w==" saltValue="7gp7C82FuASODcPiKqUEAA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4" t="s">
        <v>136</v>
      </c>
      <c r="C3" s="64"/>
      <c r="D3" s="64"/>
      <c r="E3" s="64"/>
      <c r="F3" s="64"/>
      <c r="G3" s="64"/>
      <c r="H3" s="64"/>
      <c r="I3" s="1"/>
    </row>
    <row r="4" spans="1:9" ht="15" customHeight="1" x14ac:dyDescent="0.25">
      <c r="A4" s="1"/>
      <c r="B4" s="64"/>
      <c r="C4" s="64"/>
      <c r="D4" s="64"/>
      <c r="E4" s="64"/>
      <c r="F4" s="64"/>
      <c r="G4" s="64"/>
      <c r="H4" s="6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17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89" t="s">
        <v>11</v>
      </c>
      <c r="C9" s="90"/>
      <c r="D9" s="90"/>
      <c r="E9" s="90"/>
      <c r="F9" s="91"/>
      <c r="G9" s="8">
        <v>-1053546</v>
      </c>
      <c r="H9" s="12" t="s">
        <v>3</v>
      </c>
      <c r="I9" s="1"/>
    </row>
    <row r="10" spans="1:9" x14ac:dyDescent="0.25">
      <c r="A10" s="1"/>
      <c r="B10" s="89" t="s">
        <v>77</v>
      </c>
      <c r="C10" s="90"/>
      <c r="D10" s="90"/>
      <c r="E10" s="90"/>
      <c r="F10" s="91"/>
      <c r="G10" s="8">
        <v>0</v>
      </c>
      <c r="H10" s="12" t="s">
        <v>3</v>
      </c>
      <c r="I10" s="1"/>
    </row>
    <row r="11" spans="1:9" x14ac:dyDescent="0.25">
      <c r="A11" s="1"/>
      <c r="B11" s="89" t="s">
        <v>69</v>
      </c>
      <c r="C11" s="90"/>
      <c r="D11" s="90"/>
      <c r="E11" s="90"/>
      <c r="F11" s="91"/>
      <c r="G11" s="8">
        <v>944862.37830687826</v>
      </c>
      <c r="H11" s="12" t="s">
        <v>3</v>
      </c>
      <c r="I11" s="1"/>
    </row>
    <row r="12" spans="1:9" x14ac:dyDescent="0.25">
      <c r="A12" s="1"/>
      <c r="B12" s="92" t="s">
        <v>14</v>
      </c>
      <c r="C12" s="93"/>
      <c r="D12" s="93"/>
      <c r="E12" s="93"/>
      <c r="F12" s="94"/>
      <c r="G12" s="17">
        <f>(G9+G10)+G11</f>
        <v>-108683.62169312174</v>
      </c>
      <c r="H12" s="16" t="s">
        <v>3</v>
      </c>
      <c r="I12" s="1"/>
    </row>
    <row r="13" spans="1:9" x14ac:dyDescent="0.25">
      <c r="A13" s="1"/>
      <c r="B13" s="89" t="s">
        <v>12</v>
      </c>
      <c r="C13" s="90"/>
      <c r="D13" s="90"/>
      <c r="E13" s="90"/>
      <c r="F13" s="91"/>
      <c r="G13" s="8">
        <v>1</v>
      </c>
      <c r="H13" s="12" t="s">
        <v>27</v>
      </c>
      <c r="I13" s="1"/>
    </row>
    <row r="14" spans="1:9" x14ac:dyDescent="0.25">
      <c r="A14" s="1"/>
      <c r="B14" s="75" t="s">
        <v>78</v>
      </c>
      <c r="C14" s="76"/>
      <c r="D14" s="76"/>
      <c r="E14" s="76"/>
      <c r="F14" s="77"/>
      <c r="G14" s="10">
        <f>IF(G13 = 0,0,-G12/G13)</f>
        <v>108683.62169312174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Z+hcTD1WIdAu0pZGSD7W2iUQjJZ6CeUi5wYh2dEpvy/QmC8nCELRDOgkwSH4LcsEALjxHfEPomFbXjFVOr0Vuw==" saltValue="uFkGpNufRQG4JwAbDDe8Jg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69" t="s">
        <v>137</v>
      </c>
      <c r="C3" s="69"/>
      <c r="D3" s="1"/>
    </row>
    <row r="4" spans="1:4" ht="25.5" customHeight="1" x14ac:dyDescent="0.25">
      <c r="A4" s="1"/>
      <c r="B4" s="69"/>
      <c r="C4" s="6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4" t="s">
        <v>20</v>
      </c>
      <c r="C8" s="45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4"/>
      <c r="C13" s="45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4" t="s">
        <v>115</v>
      </c>
      <c r="C16" s="45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5"/>
      <c r="C18" s="96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Fuu/7OuNc54VDl0u1oPteBY2rkKo94m/1XVCxjDRCR5K52765oH/0EhormjyRwAx6S2HJ4p/r1FJ82CX1Iw7/w==" saltValue="lLU5jNpb6SEgeZKGmqIM1A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56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19</v>
      </c>
      <c r="C8" s="40"/>
      <c r="D8" s="40"/>
      <c r="E8" s="40"/>
      <c r="F8" s="40"/>
      <c r="G8" s="1"/>
    </row>
    <row r="9" spans="1:7" x14ac:dyDescent="0.25">
      <c r="A9" s="1"/>
      <c r="B9" s="36" t="s">
        <v>35</v>
      </c>
      <c r="C9" s="36"/>
      <c r="D9" s="36"/>
      <c r="E9" s="7">
        <f>'Fane 3. Omkostninger i ØR2019'!E15</f>
        <v>1146988.6106615863</v>
      </c>
      <c r="F9" s="36" t="s">
        <v>3</v>
      </c>
      <c r="G9" s="1"/>
    </row>
    <row r="10" spans="1:7" x14ac:dyDescent="0.25">
      <c r="A10" s="1"/>
      <c r="B10" s="38" t="s">
        <v>140</v>
      </c>
      <c r="C10" s="36"/>
      <c r="D10" s="36"/>
      <c r="E10" s="7">
        <f>'Fane 3. Omkostninger i ØR2019'!E10*(1-'Fane 12. Nøgletal'!C17)*(1+'Fane 12. Nøgletal'!C10)</f>
        <v>0</v>
      </c>
      <c r="F10" s="36" t="s">
        <v>3</v>
      </c>
      <c r="G10" s="1"/>
    </row>
    <row r="11" spans="1:7" x14ac:dyDescent="0.25">
      <c r="A11" s="1"/>
      <c r="B11" s="38" t="s">
        <v>143</v>
      </c>
      <c r="C11" s="36"/>
      <c r="D11" s="36"/>
      <c r="E11" s="7">
        <f>('Fane 3. Omkostninger i ØR2019'!E11+'Fane 3. Omkostninger i ØR2019'!E12)*(1-'Fane 12. Nøgletal'!C17)*(1+'Fane 12. Nøgletal'!C11)</f>
        <v>0</v>
      </c>
      <c r="F11" s="36" t="s">
        <v>3</v>
      </c>
      <c r="G11" s="1"/>
    </row>
    <row r="12" spans="1:7" ht="17.100000000000001" customHeight="1" x14ac:dyDescent="0.25">
      <c r="A12" s="1"/>
      <c r="B12" s="31" t="s">
        <v>141</v>
      </c>
      <c r="C12" s="36"/>
      <c r="D12" s="36"/>
      <c r="E12" s="7">
        <f>'Fane 8.1. Varige tillæg'!C12+'Fane 8.1. Varige tillæg'!E12</f>
        <v>0</v>
      </c>
      <c r="F12" s="36" t="s">
        <v>3</v>
      </c>
      <c r="G12" s="1"/>
    </row>
    <row r="13" spans="1:7" ht="17.100000000000001" customHeight="1" x14ac:dyDescent="0.25">
      <c r="A13" s="1"/>
      <c r="B13" s="31" t="s">
        <v>144</v>
      </c>
      <c r="C13" s="36"/>
      <c r="D13" s="36"/>
      <c r="E13" s="8">
        <f>-('Fane 10. Bortfald'!C12+'Fane 10. Bortfald'!E12)</f>
        <v>0</v>
      </c>
      <c r="F13" s="36" t="s">
        <v>3</v>
      </c>
      <c r="G13" s="1"/>
    </row>
    <row r="14" spans="1:7" ht="17.100000000000001" customHeight="1" x14ac:dyDescent="0.25">
      <c r="A14" s="1"/>
      <c r="B14" s="31" t="s">
        <v>111</v>
      </c>
      <c r="C14" s="36"/>
      <c r="D14" s="36"/>
      <c r="E14" s="8">
        <f>'Fane 9. Tilknyttet aktivitet'!C12+'Fane 9. Tilknyttet aktivitet'!E12</f>
        <v>0</v>
      </c>
      <c r="F14" s="36" t="s">
        <v>3</v>
      </c>
      <c r="G14" s="1"/>
    </row>
    <row r="15" spans="1:7" ht="17.100000000000001" customHeight="1" x14ac:dyDescent="0.25">
      <c r="A15" s="1"/>
      <c r="B15" s="31" t="s">
        <v>26</v>
      </c>
      <c r="C15" s="36"/>
      <c r="D15" s="36"/>
      <c r="E15" s="8">
        <f>(E9-SUM(E10:E11))*'Fane 12. Nøgletal'!C9+E10*'Fane 12. Nøgletal'!C10+E11*'Fane 12. Nøgletal'!C11+SUM(E12:E14)*'Fane 12. Nøgletal'!C12</f>
        <v>14566.755355402145</v>
      </c>
      <c r="F15" s="36" t="s">
        <v>3</v>
      </c>
      <c r="G15" s="1"/>
    </row>
    <row r="16" spans="1:7" ht="17.100000000000001" customHeight="1" x14ac:dyDescent="0.25">
      <c r="A16" s="1"/>
      <c r="B16" s="31" t="s">
        <v>115</v>
      </c>
      <c r="C16" s="36"/>
      <c r="D16" s="36"/>
      <c r="E16" s="8">
        <f>-SUM(E9,E12:E15)*'Fane 12. Nøgletal'!C17</f>
        <v>-19746.441222288806</v>
      </c>
      <c r="F16" s="36" t="s">
        <v>3</v>
      </c>
      <c r="G16" s="1"/>
    </row>
    <row r="17" spans="1:7" ht="17.100000000000001" customHeight="1" x14ac:dyDescent="0.25">
      <c r="A17" s="1"/>
      <c r="B17" s="41" t="s">
        <v>28</v>
      </c>
      <c r="C17" s="39"/>
      <c r="D17" s="39"/>
      <c r="E17" s="9">
        <f>SUM(E9,E12:E16)</f>
        <v>1141808.9247946995</v>
      </c>
      <c r="F17" s="34" t="s">
        <v>3</v>
      </c>
      <c r="G17" s="1"/>
    </row>
    <row r="18" spans="1:7" ht="15" customHeight="1" x14ac:dyDescent="0.25">
      <c r="A18" s="1"/>
      <c r="B18" s="40" t="s">
        <v>16</v>
      </c>
      <c r="C18" s="40"/>
      <c r="D18" s="40"/>
      <c r="E18" s="40"/>
      <c r="F18" s="40"/>
      <c r="G18" s="1"/>
    </row>
    <row r="19" spans="1:7" ht="15" customHeight="1" x14ac:dyDescent="0.25">
      <c r="A19" s="1"/>
      <c r="B19" s="34" t="s">
        <v>16</v>
      </c>
      <c r="C19" s="34"/>
      <c r="D19" s="34"/>
      <c r="E19" s="9">
        <f>'Fane 4. Ikke-påvirkelige omk.'!C13</f>
        <v>24838.45789392</v>
      </c>
      <c r="F19" s="34" t="s">
        <v>3</v>
      </c>
      <c r="G19" s="1"/>
    </row>
    <row r="20" spans="1:7" ht="15" customHeight="1" x14ac:dyDescent="0.25">
      <c r="A20" s="1"/>
      <c r="B20" s="40" t="s">
        <v>84</v>
      </c>
      <c r="C20" s="40"/>
      <c r="D20" s="40"/>
      <c r="E20" s="40"/>
      <c r="F20" s="40"/>
      <c r="G20" s="1"/>
    </row>
    <row r="21" spans="1:7" ht="15" customHeight="1" x14ac:dyDescent="0.25">
      <c r="A21" s="1"/>
      <c r="B21" s="31" t="s">
        <v>80</v>
      </c>
      <c r="C21" s="36"/>
      <c r="D21" s="36"/>
      <c r="E21" s="8">
        <f>'Fane 8.2. Engangstillæg'!C13</f>
        <v>64805.969749367883</v>
      </c>
      <c r="F21" s="36" t="s">
        <v>3</v>
      </c>
      <c r="G21" s="1"/>
    </row>
    <row r="22" spans="1:7" ht="15" customHeight="1" x14ac:dyDescent="0.25">
      <c r="A22" s="1"/>
      <c r="B22" s="31" t="s">
        <v>81</v>
      </c>
      <c r="C22" s="36"/>
      <c r="D22" s="36"/>
      <c r="E22" s="8">
        <f>'Fane 8.2. Engangstillæg'!E13</f>
        <v>0</v>
      </c>
      <c r="F22" s="36" t="s">
        <v>3</v>
      </c>
      <c r="G22" s="1"/>
    </row>
    <row r="23" spans="1:7" x14ac:dyDescent="0.25">
      <c r="A23" s="1"/>
      <c r="B23" s="41" t="s">
        <v>85</v>
      </c>
      <c r="C23" s="39"/>
      <c r="D23" s="39"/>
      <c r="E23" s="9">
        <f>SUM(E21:E22)</f>
        <v>64805.969749367883</v>
      </c>
      <c r="F23" s="34" t="s">
        <v>3</v>
      </c>
      <c r="G23" s="1"/>
    </row>
    <row r="24" spans="1:7" x14ac:dyDescent="0.25">
      <c r="A24" s="1"/>
      <c r="B24" s="40" t="s">
        <v>10</v>
      </c>
      <c r="C24" s="40"/>
      <c r="D24" s="40"/>
      <c r="E24" s="40"/>
      <c r="F24" s="40"/>
      <c r="G24" s="1"/>
    </row>
    <row r="25" spans="1:7" ht="15" customHeight="1" x14ac:dyDescent="0.25">
      <c r="A25" s="1"/>
      <c r="B25" s="34" t="s">
        <v>18</v>
      </c>
      <c r="C25" s="34"/>
      <c r="D25" s="34"/>
      <c r="E25" s="9">
        <f>'Fane 11. Hist. over-underdæk.'!G14</f>
        <v>108683.62169312174</v>
      </c>
      <c r="F25" s="34" t="s">
        <v>3</v>
      </c>
      <c r="G25" s="1"/>
    </row>
    <row r="26" spans="1:7" ht="15" customHeight="1" x14ac:dyDescent="0.25">
      <c r="A26" s="1"/>
      <c r="B26" s="40" t="s">
        <v>147</v>
      </c>
      <c r="C26" s="40"/>
      <c r="D26" s="40"/>
      <c r="E26" s="40"/>
      <c r="F26" s="40"/>
      <c r="G26" s="1"/>
    </row>
    <row r="27" spans="1:7" x14ac:dyDescent="0.25">
      <c r="A27" s="1"/>
      <c r="B27" s="34" t="s">
        <v>148</v>
      </c>
      <c r="C27" s="34"/>
      <c r="D27" s="34"/>
      <c r="E27" s="9">
        <f>'Fane 6. Korrektioner'!E10</f>
        <v>0</v>
      </c>
      <c r="F27" s="34" t="s">
        <v>3</v>
      </c>
      <c r="G27" s="1"/>
    </row>
    <row r="28" spans="1:7" x14ac:dyDescent="0.25">
      <c r="A28" s="1"/>
      <c r="B28" s="40" t="s">
        <v>36</v>
      </c>
      <c r="C28" s="40"/>
      <c r="D28" s="40"/>
      <c r="E28" s="10">
        <f>SUM(E17,E19,E23,E25,E27)</f>
        <v>1340136.974131109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H4RNbkOcN3xmDXKtCeuy8gnIlG45dWvHuP9fhtKXhgNP5WOedY+lepPeoDFXAHLTlzunNjkxo6gpSvIbd2n3BA==" saltValue="vwEEcRTMxkr+Z3p+AOa4p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73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29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19</v>
      </c>
      <c r="C8" s="40"/>
      <c r="D8" s="40"/>
      <c r="E8" s="40"/>
      <c r="F8" s="40"/>
      <c r="G8" s="1"/>
    </row>
    <row r="9" spans="1:7" ht="15" customHeight="1" x14ac:dyDescent="0.25">
      <c r="A9" s="1"/>
      <c r="B9" s="36" t="s">
        <v>37</v>
      </c>
      <c r="C9" s="36"/>
      <c r="D9" s="36"/>
      <c r="E9" s="7">
        <f>'Fane 2.1. Økonomisk ramme 2020'!E17</f>
        <v>1141808.9247946995</v>
      </c>
      <c r="F9" s="36" t="s">
        <v>3</v>
      </c>
      <c r="G9" s="1"/>
    </row>
    <row r="10" spans="1:7" ht="15" customHeight="1" x14ac:dyDescent="0.25">
      <c r="A10" s="1"/>
      <c r="B10" s="36" t="s">
        <v>162</v>
      </c>
      <c r="C10" s="36"/>
      <c r="D10" s="36"/>
      <c r="E10" s="7">
        <v>30328.061990511869</v>
      </c>
      <c r="F10" s="36" t="s">
        <v>3</v>
      </c>
      <c r="G10" s="1"/>
    </row>
    <row r="11" spans="1:7" ht="15" customHeight="1" x14ac:dyDescent="0.25">
      <c r="A11" s="1"/>
      <c r="B11" s="31" t="s">
        <v>144</v>
      </c>
      <c r="C11" s="36"/>
      <c r="D11" s="36"/>
      <c r="E11" s="7">
        <f>-('Fane 10. Bortfald'!C18+'Fane 10. Bortfald'!E18)</f>
        <v>0</v>
      </c>
      <c r="F11" s="36" t="s">
        <v>3</v>
      </c>
      <c r="G11" s="1"/>
    </row>
    <row r="12" spans="1:7" ht="15" customHeight="1" x14ac:dyDescent="0.25">
      <c r="A12" s="1"/>
      <c r="B12" s="37" t="s">
        <v>26</v>
      </c>
      <c r="C12" s="36"/>
      <c r="D12" s="36"/>
      <c r="E12" s="8">
        <f>SUM(E9:E11)*'Fane 12. Nøgletal'!C12</f>
        <v>23091.098639668664</v>
      </c>
      <c r="F12" s="36" t="s">
        <v>3</v>
      </c>
      <c r="G12" s="1"/>
    </row>
    <row r="13" spans="1:7" ht="15" customHeight="1" x14ac:dyDescent="0.25">
      <c r="A13" s="1"/>
      <c r="B13" s="37" t="s">
        <v>115</v>
      </c>
      <c r="C13" s="36"/>
      <c r="D13" s="36"/>
      <c r="E13" s="8">
        <f>-SUM(E9:E12)*'Fane 12. Nøgletal'!C17</f>
        <v>-20318.877452222961</v>
      </c>
      <c r="F13" s="36" t="s">
        <v>3</v>
      </c>
      <c r="G13" s="1"/>
    </row>
    <row r="14" spans="1:7" ht="15" customHeight="1" x14ac:dyDescent="0.25">
      <c r="A14" s="1"/>
      <c r="B14" s="39" t="s">
        <v>28</v>
      </c>
      <c r="C14" s="39"/>
      <c r="D14" s="39"/>
      <c r="E14" s="9">
        <f>SUM(E9:E13)</f>
        <v>1174909.2079726572</v>
      </c>
      <c r="F14" s="34" t="s">
        <v>3</v>
      </c>
      <c r="G14" s="1"/>
    </row>
    <row r="15" spans="1:7" x14ac:dyDescent="0.25">
      <c r="A15" s="1"/>
      <c r="B15" s="40" t="s">
        <v>16</v>
      </c>
      <c r="C15" s="40"/>
      <c r="D15" s="40"/>
      <c r="E15" s="40"/>
      <c r="F15" s="40"/>
      <c r="G15" s="1"/>
    </row>
    <row r="16" spans="1:7" ht="15" customHeight="1" x14ac:dyDescent="0.25">
      <c r="A16" s="1"/>
      <c r="B16" s="34" t="s">
        <v>16</v>
      </c>
      <c r="C16" s="34"/>
      <c r="D16" s="34"/>
      <c r="E16" s="9">
        <f>'Fane 4. Ikke-påvirkelige omk.'!C13*(1+'Fane 12. Nøgletal'!C12)</f>
        <v>25327.775514430225</v>
      </c>
      <c r="F16" s="34" t="s">
        <v>3</v>
      </c>
      <c r="G16" s="1"/>
    </row>
    <row r="17" spans="1:7" ht="15" customHeight="1" x14ac:dyDescent="0.25">
      <c r="A17" s="1"/>
      <c r="B17" s="40" t="s">
        <v>84</v>
      </c>
      <c r="C17" s="40"/>
      <c r="D17" s="40"/>
      <c r="E17" s="40"/>
      <c r="F17" s="40"/>
      <c r="G17" s="1"/>
    </row>
    <row r="18" spans="1:7" ht="15" customHeight="1" x14ac:dyDescent="0.25">
      <c r="A18" s="1"/>
      <c r="B18" s="31" t="s">
        <v>80</v>
      </c>
      <c r="C18" s="36"/>
      <c r="D18" s="36"/>
      <c r="E18" s="8">
        <f>'Fane 8.2. Engangstillæg'!C20</f>
        <v>0</v>
      </c>
      <c r="F18" s="36" t="s">
        <v>3</v>
      </c>
      <c r="G18" s="1"/>
    </row>
    <row r="19" spans="1:7" ht="15" customHeight="1" x14ac:dyDescent="0.25">
      <c r="A19" s="1"/>
      <c r="B19" s="31" t="s">
        <v>81</v>
      </c>
      <c r="C19" s="36"/>
      <c r="D19" s="36"/>
      <c r="E19" s="8">
        <f>'Fane 8.2. Engangstillæg'!E20</f>
        <v>0</v>
      </c>
      <c r="F19" s="36" t="s">
        <v>3</v>
      </c>
      <c r="G19" s="1"/>
    </row>
    <row r="20" spans="1:7" ht="15" customHeight="1" x14ac:dyDescent="0.25">
      <c r="A20" s="1"/>
      <c r="B20" s="41" t="s">
        <v>85</v>
      </c>
      <c r="C20" s="39"/>
      <c r="D20" s="39"/>
      <c r="E20" s="9">
        <f>SUM(E18:E19)</f>
        <v>0</v>
      </c>
      <c r="F20" s="34" t="s">
        <v>3</v>
      </c>
      <c r="G20" s="1"/>
    </row>
    <row r="21" spans="1:7" x14ac:dyDescent="0.25">
      <c r="A21" s="1"/>
      <c r="B21" s="40" t="s">
        <v>95</v>
      </c>
      <c r="C21" s="40"/>
      <c r="D21" s="40"/>
      <c r="E21" s="40"/>
      <c r="F21" s="40"/>
      <c r="G21" s="1"/>
    </row>
    <row r="22" spans="1:7" ht="15" customHeight="1" x14ac:dyDescent="0.25">
      <c r="A22" s="1"/>
      <c r="B22" s="34" t="s">
        <v>131</v>
      </c>
      <c r="C22" s="34"/>
      <c r="D22" s="34"/>
      <c r="E22" s="9">
        <f>'Fane 5. Kontrol af ØR2018'!E35</f>
        <v>-36507.359982262133</v>
      </c>
      <c r="F22" s="34" t="s">
        <v>3</v>
      </c>
      <c r="G22" s="1"/>
    </row>
    <row r="23" spans="1:7" x14ac:dyDescent="0.25">
      <c r="A23" s="1"/>
      <c r="B23" s="40" t="s">
        <v>39</v>
      </c>
      <c r="C23" s="40"/>
      <c r="D23" s="40"/>
      <c r="E23" s="10">
        <f>SUM(E14,E16,E20,E22)</f>
        <v>1163729.6235048252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YkSafUUKP76ZtRYc9GXGhjeWwz/W85RknwgeSSrGCNU72VGONLP3sy4JH9Wa0nJ0DW+Sjb2t05sD/nY6SnXEHw==" saltValue="kb0yU2KqFfUQoG1UGzgW6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146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29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0" t="s">
        <v>19</v>
      </c>
      <c r="C7" s="40"/>
      <c r="D7" s="40"/>
      <c r="E7" s="40"/>
      <c r="F7" s="40"/>
      <c r="G7" s="1"/>
    </row>
    <row r="8" spans="1:7" ht="15" customHeight="1" x14ac:dyDescent="0.25">
      <c r="A8" s="1"/>
      <c r="B8" s="36" t="s">
        <v>37</v>
      </c>
      <c r="C8" s="36"/>
      <c r="D8" s="36"/>
      <c r="E8" s="7">
        <f>'Fane 2.2. Økonomisk ramme 2021'!E14</f>
        <v>1174909.2079726572</v>
      </c>
      <c r="F8" s="36" t="s">
        <v>3</v>
      </c>
      <c r="G8" s="1"/>
    </row>
    <row r="9" spans="1:7" ht="15" customHeight="1" x14ac:dyDescent="0.25">
      <c r="A9" s="1"/>
      <c r="B9" s="36" t="s">
        <v>144</v>
      </c>
      <c r="C9" s="36"/>
      <c r="D9" s="36"/>
      <c r="E9" s="7">
        <f>-('Fane 10. Bortfald'!C24+'Fane 10. Bortfald'!E24)</f>
        <v>0</v>
      </c>
      <c r="F9" s="36" t="s">
        <v>3</v>
      </c>
      <c r="G9" s="1"/>
    </row>
    <row r="10" spans="1:7" ht="15" customHeight="1" x14ac:dyDescent="0.25">
      <c r="A10" s="1"/>
      <c r="B10" s="37" t="s">
        <v>26</v>
      </c>
      <c r="C10" s="36"/>
      <c r="D10" s="36"/>
      <c r="E10" s="8">
        <f>SUM(E8:E9)*'Fane 12. Nøgletal'!C12</f>
        <v>23145.711397061346</v>
      </c>
      <c r="F10" s="36" t="s">
        <v>3</v>
      </c>
      <c r="G10" s="1"/>
    </row>
    <row r="11" spans="1:7" ht="15" customHeight="1" x14ac:dyDescent="0.25">
      <c r="A11" s="1"/>
      <c r="B11" s="37" t="s">
        <v>115</v>
      </c>
      <c r="C11" s="36"/>
      <c r="D11" s="36"/>
      <c r="E11" s="8">
        <f>-SUM(E8:E10)*'Fane 12. Nøgletal'!C17</f>
        <v>-20366.933629285217</v>
      </c>
      <c r="F11" s="36" t="s">
        <v>3</v>
      </c>
      <c r="G11" s="1"/>
    </row>
    <row r="12" spans="1:7" x14ac:dyDescent="0.25">
      <c r="A12" s="1"/>
      <c r="B12" s="39" t="s">
        <v>28</v>
      </c>
      <c r="C12" s="39"/>
      <c r="D12" s="39"/>
      <c r="E12" s="9">
        <f>SUM(E8:E11)</f>
        <v>1177687.9857404332</v>
      </c>
      <c r="F12" s="34" t="s">
        <v>3</v>
      </c>
      <c r="G12" s="1"/>
    </row>
    <row r="13" spans="1:7" x14ac:dyDescent="0.25">
      <c r="A13" s="1"/>
      <c r="B13" s="40" t="s">
        <v>16</v>
      </c>
      <c r="C13" s="40"/>
      <c r="D13" s="40"/>
      <c r="E13" s="40"/>
      <c r="F13" s="40"/>
      <c r="G13" s="1"/>
    </row>
    <row r="14" spans="1:7" ht="15" customHeight="1" x14ac:dyDescent="0.25">
      <c r="A14" s="1"/>
      <c r="B14" s="34" t="s">
        <v>16</v>
      </c>
      <c r="C14" s="34"/>
      <c r="D14" s="34"/>
      <c r="E14" s="9">
        <f>'Fane 4. Ikke-påvirkelige omk.'!C13*(1+'Fane 12. Nøgletal'!C12)^2</f>
        <v>25826.732692064499</v>
      </c>
      <c r="F14" s="34" t="s">
        <v>3</v>
      </c>
      <c r="G14" s="1"/>
    </row>
    <row r="15" spans="1:7" ht="15" customHeight="1" x14ac:dyDescent="0.25">
      <c r="A15" s="1"/>
      <c r="B15" s="40" t="s">
        <v>84</v>
      </c>
      <c r="C15" s="40"/>
      <c r="D15" s="40"/>
      <c r="E15" s="40"/>
      <c r="F15" s="40"/>
      <c r="G15" s="1"/>
    </row>
    <row r="16" spans="1:7" ht="15" customHeight="1" x14ac:dyDescent="0.25">
      <c r="A16" s="1"/>
      <c r="B16" s="31" t="s">
        <v>80</v>
      </c>
      <c r="C16" s="36"/>
      <c r="D16" s="36"/>
      <c r="E16" s="8">
        <f>'Fane 8.2. Engangstillæg'!C27</f>
        <v>0</v>
      </c>
      <c r="F16" s="36" t="s">
        <v>3</v>
      </c>
      <c r="G16" s="1"/>
    </row>
    <row r="17" spans="1:7" ht="15" customHeight="1" x14ac:dyDescent="0.25">
      <c r="A17" s="1"/>
      <c r="B17" s="31" t="s">
        <v>81</v>
      </c>
      <c r="C17" s="36"/>
      <c r="D17" s="36"/>
      <c r="E17" s="8">
        <f>'Fane 8.2. Engangstillæg'!E27</f>
        <v>0</v>
      </c>
      <c r="F17" s="36" t="s">
        <v>3</v>
      </c>
      <c r="G17" s="1"/>
    </row>
    <row r="18" spans="1:7" ht="15" customHeight="1" x14ac:dyDescent="0.25">
      <c r="A18" s="1"/>
      <c r="B18" s="41" t="s">
        <v>85</v>
      </c>
      <c r="C18" s="39"/>
      <c r="D18" s="39"/>
      <c r="E18" s="9">
        <f>SUM(E16:E17)</f>
        <v>0</v>
      </c>
      <c r="F18" s="34" t="s">
        <v>3</v>
      </c>
      <c r="G18" s="1"/>
    </row>
    <row r="19" spans="1:7" ht="15" customHeight="1" x14ac:dyDescent="0.25">
      <c r="A19" s="1"/>
      <c r="B19" s="40" t="s">
        <v>95</v>
      </c>
      <c r="C19" s="40"/>
      <c r="D19" s="40"/>
      <c r="E19" s="40"/>
      <c r="F19" s="40"/>
      <c r="G19" s="1"/>
    </row>
    <row r="20" spans="1:7" ht="15" customHeight="1" x14ac:dyDescent="0.25">
      <c r="A20" s="1"/>
      <c r="B20" s="34" t="s">
        <v>131</v>
      </c>
      <c r="C20" s="34"/>
      <c r="D20" s="34"/>
      <c r="E20" s="9">
        <f>'Fane 2.2. Økonomisk ramme 2021'!E22</f>
        <v>-36507.359982262133</v>
      </c>
      <c r="F20" s="34" t="s">
        <v>3</v>
      </c>
      <c r="G20" s="1"/>
    </row>
    <row r="21" spans="1:7" x14ac:dyDescent="0.25">
      <c r="A21" s="1"/>
      <c r="B21" s="40" t="s">
        <v>40</v>
      </c>
      <c r="C21" s="40"/>
      <c r="D21" s="40"/>
      <c r="E21" s="10">
        <f>SUM(E12,E14,E18,E20)</f>
        <v>1167007.3584502356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DJrRkLUjAq7rnNVP7xTXT7gMlfnme2gBsLp0AVdbkoapYcv382vrm9IMlHb281NlcBWa8YECX3P1aBRid9OCyg==" saltValue="zN+fB6zMYFYXoQI3uYnSH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145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29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0" t="s">
        <v>19</v>
      </c>
      <c r="C7" s="40"/>
      <c r="D7" s="40"/>
      <c r="E7" s="40"/>
      <c r="F7" s="40"/>
      <c r="G7" s="1"/>
    </row>
    <row r="8" spans="1:7" ht="15" customHeight="1" x14ac:dyDescent="0.25">
      <c r="A8" s="1"/>
      <c r="B8" s="36" t="s">
        <v>38</v>
      </c>
      <c r="C8" s="36"/>
      <c r="D8" s="36"/>
      <c r="E8" s="7">
        <f>'Fane 2.3. Økonomisk ramme 2022'!E12</f>
        <v>1177687.9857404332</v>
      </c>
      <c r="F8" s="36" t="s">
        <v>3</v>
      </c>
      <c r="G8" s="1"/>
    </row>
    <row r="9" spans="1:7" ht="15" customHeight="1" x14ac:dyDescent="0.25">
      <c r="A9" s="1"/>
      <c r="B9" s="36" t="s">
        <v>144</v>
      </c>
      <c r="C9" s="36"/>
      <c r="D9" s="36"/>
      <c r="E9" s="7">
        <f>-('Fane 10. Bortfald'!C30+'Fane 10. Bortfald'!E30)</f>
        <v>0</v>
      </c>
      <c r="F9" s="36" t="s">
        <v>3</v>
      </c>
      <c r="G9" s="1"/>
    </row>
    <row r="10" spans="1:7" ht="15" customHeight="1" x14ac:dyDescent="0.25">
      <c r="A10" s="1"/>
      <c r="B10" s="37" t="s">
        <v>26</v>
      </c>
      <c r="C10" s="36"/>
      <c r="D10" s="36"/>
      <c r="E10" s="8">
        <f>E8*'Fane 12. Nøgletal'!C12</f>
        <v>23200.453319086533</v>
      </c>
      <c r="F10" s="36" t="s">
        <v>3</v>
      </c>
      <c r="G10" s="1"/>
    </row>
    <row r="11" spans="1:7" ht="15" customHeight="1" x14ac:dyDescent="0.25">
      <c r="A11" s="1"/>
      <c r="B11" s="37" t="s">
        <v>115</v>
      </c>
      <c r="C11" s="36"/>
      <c r="D11" s="36"/>
      <c r="E11" s="8">
        <f>-SUM(E8:E10)*'Fane 12. Nøgletal'!C17</f>
        <v>-20415.103464011834</v>
      </c>
      <c r="F11" s="36" t="s">
        <v>3</v>
      </c>
      <c r="G11" s="1"/>
    </row>
    <row r="12" spans="1:7" x14ac:dyDescent="0.25">
      <c r="A12" s="1"/>
      <c r="B12" s="39" t="s">
        <v>28</v>
      </c>
      <c r="C12" s="39"/>
      <c r="D12" s="39"/>
      <c r="E12" s="9">
        <f>SUM(E8:E11)</f>
        <v>1180473.3355955079</v>
      </c>
      <c r="F12" s="34" t="s">
        <v>3</v>
      </c>
      <c r="G12" s="1"/>
    </row>
    <row r="13" spans="1:7" x14ac:dyDescent="0.25">
      <c r="A13" s="1"/>
      <c r="B13" s="40" t="s">
        <v>16</v>
      </c>
      <c r="C13" s="40"/>
      <c r="D13" s="40"/>
      <c r="E13" s="40"/>
      <c r="F13" s="40"/>
      <c r="G13" s="1"/>
    </row>
    <row r="14" spans="1:7" ht="15" customHeight="1" x14ac:dyDescent="0.25">
      <c r="A14" s="1"/>
      <c r="B14" s="34" t="s">
        <v>16</v>
      </c>
      <c r="C14" s="34"/>
      <c r="D14" s="34"/>
      <c r="E14" s="9">
        <f>'Fane 4. Ikke-påvirkelige omk.'!C13*(1+'Fane 12. Nøgletal'!C12)^3</f>
        <v>26335.519326098172</v>
      </c>
      <c r="F14" s="34" t="s">
        <v>3</v>
      </c>
      <c r="G14" s="1"/>
    </row>
    <row r="15" spans="1:7" ht="15" customHeight="1" x14ac:dyDescent="0.25">
      <c r="A15" s="1"/>
      <c r="B15" s="40" t="s">
        <v>84</v>
      </c>
      <c r="C15" s="40"/>
      <c r="D15" s="40"/>
      <c r="E15" s="40"/>
      <c r="F15" s="40"/>
      <c r="G15" s="1"/>
    </row>
    <row r="16" spans="1:7" ht="15" customHeight="1" x14ac:dyDescent="0.25">
      <c r="A16" s="1"/>
      <c r="B16" s="31" t="s">
        <v>80</v>
      </c>
      <c r="C16" s="36"/>
      <c r="D16" s="36"/>
      <c r="E16" s="8">
        <f>'Fane 8.2. Engangstillæg'!C34</f>
        <v>0</v>
      </c>
      <c r="F16" s="36" t="s">
        <v>3</v>
      </c>
      <c r="G16" s="1"/>
    </row>
    <row r="17" spans="1:7" ht="15" customHeight="1" x14ac:dyDescent="0.25">
      <c r="A17" s="1"/>
      <c r="B17" s="31" t="s">
        <v>81</v>
      </c>
      <c r="C17" s="36"/>
      <c r="D17" s="36"/>
      <c r="E17" s="8">
        <f>'Fane 8.2. Engangstillæg'!E34</f>
        <v>0</v>
      </c>
      <c r="F17" s="36" t="s">
        <v>3</v>
      </c>
      <c r="G17" s="1"/>
    </row>
    <row r="18" spans="1:7" ht="15" customHeight="1" x14ac:dyDescent="0.25">
      <c r="A18" s="1"/>
      <c r="B18" s="41" t="s">
        <v>85</v>
      </c>
      <c r="C18" s="39"/>
      <c r="D18" s="39"/>
      <c r="E18" s="9">
        <f>SUM(E16:E17)</f>
        <v>0</v>
      </c>
      <c r="F18" s="34" t="s">
        <v>3</v>
      </c>
      <c r="G18" s="1"/>
    </row>
    <row r="19" spans="1:7" ht="15" customHeight="1" x14ac:dyDescent="0.25">
      <c r="A19" s="1"/>
      <c r="B19" s="40" t="s">
        <v>95</v>
      </c>
      <c r="C19" s="40"/>
      <c r="D19" s="40"/>
      <c r="E19" s="40"/>
      <c r="F19" s="40"/>
      <c r="G19" s="1"/>
    </row>
    <row r="20" spans="1:7" ht="15" customHeight="1" x14ac:dyDescent="0.25">
      <c r="A20" s="1"/>
      <c r="B20" s="34" t="s">
        <v>131</v>
      </c>
      <c r="C20" s="34"/>
      <c r="D20" s="34"/>
      <c r="E20" s="9">
        <f>'Fane 2.3. Økonomisk ramme 2022'!E20</f>
        <v>-36507.359982262133</v>
      </c>
      <c r="F20" s="34" t="s">
        <v>3</v>
      </c>
      <c r="G20" s="1"/>
    </row>
    <row r="21" spans="1:7" x14ac:dyDescent="0.25">
      <c r="A21" s="1"/>
      <c r="B21" s="40" t="s">
        <v>89</v>
      </c>
      <c r="C21" s="40"/>
      <c r="D21" s="40"/>
      <c r="E21" s="10">
        <f>SUM(E12,E14,E18,E20)</f>
        <v>1170301.494939344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JDe+Q8D9P5XY28+TJpGie/DXpr2PJKWfmGg48dqoKTJVmyZ4owQCoM+E/2LvJpCjOdBHHjHCA30at9txbGSB/A==" saltValue="CMQMTekyBy7x3kkYmnaGR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138</v>
      </c>
      <c r="C3" s="69"/>
      <c r="D3" s="69"/>
      <c r="E3" s="69"/>
      <c r="F3" s="69"/>
      <c r="G3" s="1"/>
    </row>
    <row r="4" spans="1:7" ht="29.2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72</v>
      </c>
      <c r="C8" s="40"/>
      <c r="D8" s="40"/>
      <c r="E8" s="40"/>
      <c r="F8" s="40"/>
      <c r="G8" s="1"/>
    </row>
    <row r="9" spans="1:7" x14ac:dyDescent="0.25">
      <c r="A9" s="1"/>
      <c r="B9" s="70" t="s">
        <v>70</v>
      </c>
      <c r="C9" s="70"/>
      <c r="D9" s="70"/>
      <c r="E9" s="7">
        <v>1152191.7935822243</v>
      </c>
      <c r="F9" s="36" t="s">
        <v>3</v>
      </c>
      <c r="G9" s="1"/>
    </row>
    <row r="10" spans="1:7" x14ac:dyDescent="0.25">
      <c r="A10" s="1"/>
      <c r="B10" s="72" t="s">
        <v>140</v>
      </c>
      <c r="C10" s="72"/>
      <c r="D10" s="72"/>
      <c r="E10" s="7">
        <v>0</v>
      </c>
      <c r="F10" s="36" t="s">
        <v>3</v>
      </c>
      <c r="G10" s="1"/>
    </row>
    <row r="11" spans="1:7" x14ac:dyDescent="0.25">
      <c r="A11" s="1"/>
      <c r="B11" s="71" t="s">
        <v>141</v>
      </c>
      <c r="C11" s="71"/>
      <c r="D11" s="71"/>
      <c r="E11" s="7">
        <v>0</v>
      </c>
      <c r="F11" s="36" t="s">
        <v>3</v>
      </c>
      <c r="G11" s="1"/>
    </row>
    <row r="12" spans="1:7" x14ac:dyDescent="0.25">
      <c r="A12" s="1"/>
      <c r="B12" s="71" t="s">
        <v>142</v>
      </c>
      <c r="C12" s="71"/>
      <c r="D12" s="71"/>
      <c r="E12" s="8">
        <v>0</v>
      </c>
      <c r="F12" s="36" t="s">
        <v>3</v>
      </c>
      <c r="G12" s="1"/>
    </row>
    <row r="13" spans="1:7" x14ac:dyDescent="0.25">
      <c r="A13" s="1"/>
      <c r="B13" s="71" t="s">
        <v>26</v>
      </c>
      <c r="C13" s="71"/>
      <c r="D13" s="71"/>
      <c r="E13" s="8">
        <f>(SUM(E9:E9)-SUM(E10:E10))*'Fane 12. Nøgletal'!C9+SUM(E10:E10)*'Fane 12. Nøgletal'!C10+SUM(E11:E12)*'Fane 12. Nøgletal'!C11</f>
        <v>14632.835778494247</v>
      </c>
      <c r="F13" s="36" t="s">
        <v>3</v>
      </c>
      <c r="G13" s="1"/>
    </row>
    <row r="14" spans="1:7" x14ac:dyDescent="0.25">
      <c r="A14" s="1"/>
      <c r="B14" s="71" t="s">
        <v>115</v>
      </c>
      <c r="C14" s="71"/>
      <c r="D14" s="71"/>
      <c r="E14" s="8">
        <f>-SUM(E9:E9,E11:E13)*'Fane 12. Nøgletal'!C17</f>
        <v>-19836.018699132215</v>
      </c>
      <c r="F14" s="36" t="s">
        <v>3</v>
      </c>
      <c r="G14" s="1"/>
    </row>
    <row r="15" spans="1:7" x14ac:dyDescent="0.25">
      <c r="A15" s="1"/>
      <c r="B15" s="73" t="s">
        <v>28</v>
      </c>
      <c r="C15" s="73"/>
      <c r="D15" s="73"/>
      <c r="E15" s="9">
        <f>SUM(E9,E11:E14)</f>
        <v>1146988.6106615863</v>
      </c>
      <c r="F15" s="34" t="s">
        <v>3</v>
      </c>
      <c r="G15" s="1"/>
    </row>
    <row r="16" spans="1:7" x14ac:dyDescent="0.25">
      <c r="A16" s="1"/>
      <c r="B16" s="74" t="s">
        <v>16</v>
      </c>
      <c r="C16" s="74"/>
      <c r="D16" s="74"/>
      <c r="E16" s="40"/>
      <c r="F16" s="40"/>
      <c r="G16" s="1"/>
    </row>
    <row r="17" spans="1:7" x14ac:dyDescent="0.25">
      <c r="A17" s="1"/>
      <c r="B17" s="68" t="s">
        <v>16</v>
      </c>
      <c r="C17" s="68"/>
      <c r="D17" s="68"/>
      <c r="E17" s="9">
        <v>24812.884211949993</v>
      </c>
      <c r="F17" s="34" t="s">
        <v>3</v>
      </c>
      <c r="G17" s="1"/>
    </row>
    <row r="18" spans="1:7" x14ac:dyDescent="0.25">
      <c r="A18" s="1"/>
      <c r="B18" s="74" t="s">
        <v>84</v>
      </c>
      <c r="C18" s="74"/>
      <c r="D18" s="74"/>
      <c r="E18" s="74"/>
      <c r="F18" s="74"/>
      <c r="G18" s="1"/>
    </row>
    <row r="19" spans="1:7" ht="15" customHeight="1" x14ac:dyDescent="0.25">
      <c r="A19" s="1"/>
      <c r="B19" s="68" t="s">
        <v>80</v>
      </c>
      <c r="C19" s="68"/>
      <c r="D19" s="68"/>
      <c r="E19" s="9">
        <v>53959.196206224296</v>
      </c>
      <c r="F19" s="34" t="s">
        <v>3</v>
      </c>
      <c r="G19" s="1"/>
    </row>
    <row r="20" spans="1:7" x14ac:dyDescent="0.25">
      <c r="A20" s="1"/>
      <c r="B20" s="40" t="s">
        <v>71</v>
      </c>
      <c r="C20" s="40"/>
      <c r="D20" s="40"/>
      <c r="E20" s="40"/>
      <c r="F20" s="40"/>
      <c r="G20" s="1"/>
    </row>
    <row r="21" spans="1:7" ht="27" customHeight="1" x14ac:dyDescent="0.25">
      <c r="A21" s="1"/>
      <c r="B21" s="67" t="s">
        <v>74</v>
      </c>
      <c r="C21" s="67"/>
      <c r="D21" s="67"/>
      <c r="E21" s="9">
        <v>8893.6605360080521</v>
      </c>
      <c r="F21" s="34" t="s">
        <v>3</v>
      </c>
      <c r="G21" s="1"/>
    </row>
    <row r="22" spans="1:7" x14ac:dyDescent="0.25">
      <c r="A22" s="1"/>
      <c r="B22" s="40" t="s">
        <v>10</v>
      </c>
      <c r="C22" s="40"/>
      <c r="D22" s="40"/>
      <c r="E22" s="40"/>
      <c r="F22" s="40"/>
      <c r="G22" s="1"/>
    </row>
    <row r="23" spans="1:7" x14ac:dyDescent="0.25">
      <c r="A23" s="1"/>
      <c r="B23" s="68" t="s">
        <v>18</v>
      </c>
      <c r="C23" s="68"/>
      <c r="D23" s="68"/>
      <c r="E23" s="9">
        <v>108683</v>
      </c>
      <c r="F23" s="34" t="s">
        <v>3</v>
      </c>
      <c r="G23" s="1"/>
    </row>
    <row r="24" spans="1:7" x14ac:dyDescent="0.25">
      <c r="A24" s="1"/>
      <c r="B24" s="40" t="s">
        <v>23</v>
      </c>
      <c r="C24" s="40"/>
      <c r="D24" s="40"/>
      <c r="E24" s="10">
        <f>SUM(E23,E21,E17,E15,E19)</f>
        <v>1343337.3516157686</v>
      </c>
      <c r="F24" s="11" t="s">
        <v>3</v>
      </c>
      <c r="G24" s="1"/>
    </row>
    <row r="25" spans="1:7" ht="28.5" customHeight="1" x14ac:dyDescent="0.25">
      <c r="A25" s="1"/>
      <c r="B25" s="66" t="s">
        <v>118</v>
      </c>
      <c r="C25" s="66"/>
      <c r="D25" s="66"/>
      <c r="E25" s="66"/>
      <c r="F25" s="66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algorithmName="SHA-512" hashValue="y9jeUF6+GLzP4L4dYOhtp2RsTny3zDt/kU/MFlLWTy4VabYvvNFNm/AAbqr5vtbDM+OTYQStE0oNko8f3pOCDA==" saltValue="cZ2WPQloMNJ4XQLODf83rw==" spinCount="100000" sheet="1" objects="1" scenarios="1"/>
  <mergeCells count="16">
    <mergeCell ref="B25:F25"/>
    <mergeCell ref="B21:D21"/>
    <mergeCell ref="B23:D23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  <mergeCell ref="B18:D18"/>
    <mergeCell ref="B19:D19"/>
    <mergeCell ref="E18:F1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4" t="s">
        <v>110</v>
      </c>
      <c r="C3" s="64"/>
      <c r="D3" s="64"/>
      <c r="E3" s="1"/>
      <c r="F3" s="1"/>
    </row>
    <row r="4" spans="1:6" ht="15" customHeight="1" x14ac:dyDescent="0.25">
      <c r="A4" s="1"/>
      <c r="B4" s="64"/>
      <c r="C4" s="64"/>
      <c r="D4" s="64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5" t="s">
        <v>58</v>
      </c>
      <c r="C8" s="76"/>
      <c r="D8" s="77"/>
      <c r="E8" s="1"/>
      <c r="F8" s="1"/>
    </row>
    <row r="9" spans="1:6" ht="15" customHeight="1" x14ac:dyDescent="0.25">
      <c r="A9" s="1"/>
      <c r="B9" s="19" t="s">
        <v>43</v>
      </c>
      <c r="C9" s="34" t="s">
        <v>59</v>
      </c>
      <c r="D9" s="34"/>
      <c r="E9" s="1"/>
      <c r="F9" s="1"/>
    </row>
    <row r="10" spans="1:6" x14ac:dyDescent="0.25">
      <c r="A10" s="1"/>
      <c r="B10" s="30" t="s">
        <v>158</v>
      </c>
      <c r="C10" s="8">
        <v>3888</v>
      </c>
      <c r="D10" s="12" t="s">
        <v>3</v>
      </c>
      <c r="E10" s="1"/>
      <c r="F10" s="1"/>
    </row>
    <row r="11" spans="1:6" x14ac:dyDescent="0.25">
      <c r="A11" s="1"/>
      <c r="B11" s="30" t="s">
        <v>159</v>
      </c>
      <c r="C11" s="8">
        <v>20000</v>
      </c>
      <c r="D11" s="12" t="s">
        <v>3</v>
      </c>
      <c r="E11" s="1"/>
      <c r="F11" s="1"/>
    </row>
    <row r="12" spans="1:6" x14ac:dyDescent="0.25">
      <c r="A12" s="1"/>
      <c r="B12" s="44" t="s">
        <v>60</v>
      </c>
      <c r="C12" s="10">
        <f>SUM(C10:C11)</f>
        <v>23888</v>
      </c>
      <c r="D12" s="11" t="s">
        <v>3</v>
      </c>
      <c r="E12" s="1"/>
      <c r="F12" s="1"/>
    </row>
    <row r="13" spans="1:6" x14ac:dyDescent="0.25">
      <c r="A13" s="1"/>
      <c r="B13" s="44" t="s">
        <v>61</v>
      </c>
      <c r="C13" s="10">
        <f>C12*(1+'Fane 12. Nøgletal'!C12)^2</f>
        <v>24838.45789392</v>
      </c>
      <c r="D13" s="11" t="s">
        <v>3</v>
      </c>
      <c r="E13" s="1"/>
      <c r="F13" s="1"/>
    </row>
    <row r="14" spans="1:6" x14ac:dyDescent="0.25">
      <c r="A14" s="1"/>
      <c r="B14" s="14"/>
      <c r="C14" s="13"/>
      <c r="D14" s="13"/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heetProtection algorithmName="SHA-512" hashValue="ptyFLPFA5dkHmti1cRjvJaBca+Ns8b61nSZopOv5G9Vri8dEaFXS6zru22nGD3rioJLfV1YzqOUy721PemHHtA==" saltValue="RvSlRCH9N3Ch2KRIFBSGYQ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69" t="s">
        <v>119</v>
      </c>
      <c r="C3" s="69"/>
      <c r="D3" s="69"/>
      <c r="E3" s="69"/>
      <c r="F3" s="69"/>
      <c r="G3" s="1"/>
    </row>
    <row r="4" spans="1:7" ht="15" customHeight="1" x14ac:dyDescent="0.25">
      <c r="A4" s="1"/>
      <c r="B4" s="69"/>
      <c r="C4" s="69"/>
      <c r="D4" s="69"/>
      <c r="E4" s="69"/>
      <c r="F4" s="69"/>
      <c r="G4" s="1"/>
    </row>
    <row r="5" spans="1:7" ht="15" customHeight="1" x14ac:dyDescent="0.25">
      <c r="A5" s="1"/>
      <c r="B5" s="35"/>
      <c r="C5" s="35"/>
      <c r="D5" s="35"/>
      <c r="E5" s="35"/>
      <c r="F5" s="35"/>
      <c r="G5" s="1"/>
    </row>
    <row r="6" spans="1:7" ht="15" customHeight="1" x14ac:dyDescent="0.25">
      <c r="A6" s="1"/>
      <c r="B6" s="78" t="s">
        <v>47</v>
      </c>
      <c r="C6" s="78"/>
      <c r="D6" s="78"/>
      <c r="E6" s="78"/>
      <c r="F6" s="78"/>
      <c r="G6" s="1"/>
    </row>
    <row r="7" spans="1:7" ht="15" customHeight="1" x14ac:dyDescent="0.25">
      <c r="A7" s="1"/>
      <c r="B7" s="79" t="s">
        <v>45</v>
      </c>
      <c r="C7" s="79"/>
      <c r="D7" s="79"/>
      <c r="E7" s="8">
        <v>-1892708.1133333333</v>
      </c>
      <c r="F7" s="12" t="s">
        <v>3</v>
      </c>
      <c r="G7" s="1"/>
    </row>
    <row r="8" spans="1:7" ht="15" customHeight="1" x14ac:dyDescent="0.25">
      <c r="A8" s="1"/>
      <c r="B8" s="79" t="s">
        <v>46</v>
      </c>
      <c r="C8" s="79"/>
      <c r="D8" s="79"/>
      <c r="E8" s="8">
        <v>1746678.6734042848</v>
      </c>
      <c r="F8" s="12" t="s">
        <v>3</v>
      </c>
      <c r="G8" s="1"/>
    </row>
    <row r="9" spans="1:7" ht="15" customHeight="1" x14ac:dyDescent="0.25">
      <c r="A9" s="1"/>
      <c r="B9" s="81" t="s">
        <v>129</v>
      </c>
      <c r="C9" s="82"/>
      <c r="D9" s="83"/>
      <c r="E9" s="9">
        <f>SUM(E7:E8)</f>
        <v>-146029.43992904853</v>
      </c>
      <c r="F9" s="15" t="s">
        <v>3</v>
      </c>
      <c r="G9" s="1"/>
    </row>
    <row r="10" spans="1:7" ht="15" customHeight="1" x14ac:dyDescent="0.25">
      <c r="A10" s="1"/>
      <c r="B10" s="75"/>
      <c r="C10" s="76"/>
      <c r="D10" s="76"/>
      <c r="E10" s="76"/>
      <c r="F10" s="77"/>
      <c r="G10" s="1"/>
    </row>
    <row r="11" spans="1:7" ht="27" customHeight="1" x14ac:dyDescent="0.25">
      <c r="A11" s="1"/>
      <c r="B11" s="66" t="s">
        <v>113</v>
      </c>
      <c r="C11" s="66"/>
      <c r="D11" s="66"/>
      <c r="E11" s="66"/>
      <c r="F11" s="66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8" t="s">
        <v>99</v>
      </c>
      <c r="C14" s="78"/>
      <c r="D14" s="78"/>
      <c r="E14" s="78"/>
      <c r="F14" s="78"/>
      <c r="G14" s="1"/>
    </row>
    <row r="15" spans="1:7" x14ac:dyDescent="0.25">
      <c r="A15" s="1"/>
      <c r="B15" s="79" t="s">
        <v>100</v>
      </c>
      <c r="C15" s="79"/>
      <c r="D15" s="79"/>
      <c r="E15" s="8">
        <v>3009506.4538303148</v>
      </c>
      <c r="F15" s="12" t="s">
        <v>3</v>
      </c>
      <c r="G15" s="1"/>
    </row>
    <row r="16" spans="1:7" x14ac:dyDescent="0.25">
      <c r="A16" s="1"/>
      <c r="B16" s="79" t="s">
        <v>101</v>
      </c>
      <c r="C16" s="79"/>
      <c r="D16" s="79"/>
      <c r="E16" s="8">
        <v>1429808</v>
      </c>
      <c r="F16" s="12" t="s">
        <v>3</v>
      </c>
      <c r="G16" s="1"/>
    </row>
    <row r="17" spans="1:7" x14ac:dyDescent="0.25">
      <c r="A17" s="1"/>
      <c r="B17" s="79" t="s">
        <v>44</v>
      </c>
      <c r="C17" s="79"/>
      <c r="D17" s="79"/>
      <c r="E17" s="8">
        <v>0</v>
      </c>
      <c r="F17" s="12" t="s">
        <v>3</v>
      </c>
      <c r="G17" s="1"/>
    </row>
    <row r="18" spans="1:7" x14ac:dyDescent="0.25">
      <c r="A18" s="1"/>
      <c r="B18" s="80" t="s">
        <v>130</v>
      </c>
      <c r="C18" s="80"/>
      <c r="D18" s="80"/>
      <c r="E18" s="9">
        <f>E15-(E16-E17)</f>
        <v>1579698.4538303148</v>
      </c>
      <c r="F18" s="15" t="s">
        <v>3</v>
      </c>
      <c r="G18" s="1"/>
    </row>
    <row r="19" spans="1:7" x14ac:dyDescent="0.25">
      <c r="A19" s="1"/>
      <c r="B19" s="84"/>
      <c r="C19" s="85"/>
      <c r="D19" s="85"/>
      <c r="E19" s="85"/>
      <c r="F19" s="86"/>
      <c r="G19" s="1"/>
    </row>
    <row r="20" spans="1:7" ht="28.5" customHeight="1" x14ac:dyDescent="0.25">
      <c r="A20" s="1"/>
      <c r="B20" s="66" t="s">
        <v>112</v>
      </c>
      <c r="C20" s="66"/>
      <c r="D20" s="66"/>
      <c r="E20" s="66"/>
      <c r="F20" s="66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78" t="s">
        <v>66</v>
      </c>
      <c r="C23" s="78"/>
      <c r="D23" s="78"/>
      <c r="E23" s="78"/>
      <c r="F23" s="78"/>
      <c r="G23" s="1"/>
    </row>
    <row r="24" spans="1:7" x14ac:dyDescent="0.25">
      <c r="A24" s="1"/>
      <c r="B24" s="79" t="s">
        <v>67</v>
      </c>
      <c r="C24" s="79"/>
      <c r="D24" s="79"/>
      <c r="E24" s="8">
        <v>1248181.7381877864</v>
      </c>
      <c r="F24" s="12" t="s">
        <v>3</v>
      </c>
      <c r="G24" s="1"/>
    </row>
    <row r="25" spans="1:7" x14ac:dyDescent="0.25">
      <c r="A25" s="1"/>
      <c r="B25" s="79" t="s">
        <v>68</v>
      </c>
      <c r="C25" s="79"/>
      <c r="D25" s="79"/>
      <c r="E25" s="8">
        <v>1449364</v>
      </c>
      <c r="F25" s="12" t="s">
        <v>3</v>
      </c>
      <c r="G25" s="1"/>
    </row>
    <row r="26" spans="1:7" x14ac:dyDescent="0.25">
      <c r="A26" s="1"/>
      <c r="B26" s="79" t="s">
        <v>44</v>
      </c>
      <c r="C26" s="79"/>
      <c r="D26" s="79"/>
      <c r="E26" s="8">
        <v>0</v>
      </c>
      <c r="F26" s="12" t="s">
        <v>3</v>
      </c>
      <c r="G26" s="1"/>
    </row>
    <row r="27" spans="1:7" x14ac:dyDescent="0.25">
      <c r="A27" s="1"/>
      <c r="B27" s="80" t="s">
        <v>130</v>
      </c>
      <c r="C27" s="80"/>
      <c r="D27" s="80"/>
      <c r="E27" s="9">
        <f>E24-(E25-E26)</f>
        <v>-201182.26181221358</v>
      </c>
      <c r="F27" s="15" t="s">
        <v>3</v>
      </c>
      <c r="G27" s="1"/>
    </row>
    <row r="28" spans="1:7" x14ac:dyDescent="0.25">
      <c r="A28" s="1"/>
      <c r="B28" s="75"/>
      <c r="C28" s="76"/>
      <c r="D28" s="76"/>
      <c r="E28" s="76"/>
      <c r="F28" s="77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78" t="s">
        <v>114</v>
      </c>
      <c r="C31" s="78"/>
      <c r="D31" s="78"/>
      <c r="E31" s="78"/>
      <c r="F31" s="78"/>
      <c r="G31" s="1"/>
    </row>
    <row r="32" spans="1:7" x14ac:dyDescent="0.25">
      <c r="A32" s="1"/>
      <c r="B32" s="72" t="s">
        <v>47</v>
      </c>
      <c r="C32" s="72"/>
      <c r="D32" s="72"/>
      <c r="E32" s="8">
        <f>E9</f>
        <v>-146029.43992904853</v>
      </c>
      <c r="F32" s="12" t="s">
        <v>3</v>
      </c>
      <c r="G32" s="1"/>
    </row>
    <row r="33" spans="1:7" x14ac:dyDescent="0.25">
      <c r="A33" s="1"/>
      <c r="B33" s="72" t="s">
        <v>128</v>
      </c>
      <c r="C33" s="72"/>
      <c r="D33" s="72"/>
      <c r="E33" s="8">
        <f>IF(E18+E27&lt;0,E18+E27,0)</f>
        <v>0</v>
      </c>
      <c r="F33" s="12" t="s">
        <v>3</v>
      </c>
      <c r="G33" s="1"/>
    </row>
    <row r="34" spans="1:7" x14ac:dyDescent="0.25">
      <c r="A34" s="1"/>
      <c r="B34" s="72" t="s">
        <v>122</v>
      </c>
      <c r="C34" s="72"/>
      <c r="D34" s="72"/>
      <c r="E34" s="8">
        <v>4</v>
      </c>
      <c r="F34" s="12" t="s">
        <v>27</v>
      </c>
      <c r="G34" s="1"/>
    </row>
    <row r="35" spans="1:7" x14ac:dyDescent="0.25">
      <c r="A35" s="1"/>
      <c r="B35" s="80" t="s">
        <v>149</v>
      </c>
      <c r="C35" s="80"/>
      <c r="D35" s="80"/>
      <c r="E35" s="9">
        <f>SUM(E32:E33)/E34</f>
        <v>-36507.359982262133</v>
      </c>
      <c r="F35" s="15" t="s">
        <v>3</v>
      </c>
      <c r="G35" s="1"/>
    </row>
    <row r="36" spans="1:7" x14ac:dyDescent="0.25">
      <c r="A36" s="1"/>
      <c r="B36" s="78"/>
      <c r="C36" s="78"/>
      <c r="D36" s="78"/>
      <c r="E36" s="78"/>
      <c r="F36" s="78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+6bG1T6tR/g3Vl3CgWlpqRfHFmmiD0b3xMwkAdvbf6/ewdrVBbjLBhom/C0qSpejH/UmJO+AmwGao8UQHTuOLQ==" saltValue="GY5F4ndQxyBiP1mtmyznxA==" spinCount="100000" sheet="1" objects="1" scenarios="1"/>
  <mergeCells count="26"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69" t="s">
        <v>150</v>
      </c>
      <c r="C3" s="69"/>
      <c r="D3" s="69"/>
      <c r="E3" s="69"/>
      <c r="F3" s="69"/>
      <c r="G3" s="1"/>
    </row>
    <row r="4" spans="1:7" ht="1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78" t="s">
        <v>94</v>
      </c>
      <c r="C8" s="78"/>
      <c r="D8" s="78"/>
      <c r="E8" s="78"/>
      <c r="F8" s="78"/>
      <c r="G8" s="1"/>
    </row>
    <row r="9" spans="1:7" ht="28.5" customHeight="1" x14ac:dyDescent="0.25">
      <c r="A9" s="1"/>
      <c r="B9" s="67" t="s">
        <v>98</v>
      </c>
      <c r="C9" s="67"/>
      <c r="D9" s="67"/>
      <c r="E9" s="9">
        <f>IF('Fane 3. Omkostninger i ØR2019'!E21-'Fane 3. Omkostninger i ØR2019'!E21/(1+'Fane 12. Nøgletal'!C11)^2&lt;0,-('Fane 3. Omkostninger i ØR2019'!E21-'Fane 3. Omkostninger i ØR2019'!E21/(1+'Fane 12. Nøgletal'!C11)^2),0)</f>
        <v>0</v>
      </c>
      <c r="F9" s="34" t="s">
        <v>3</v>
      </c>
      <c r="G9" s="1"/>
    </row>
    <row r="10" spans="1:7" x14ac:dyDescent="0.25">
      <c r="A10" s="1"/>
      <c r="B10" s="40" t="s">
        <v>109</v>
      </c>
      <c r="C10" s="40"/>
      <c r="D10" s="40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jouvmxIqy3yjjUHv8W2HGSRUQy8pF0H6AonJ03AxG+YWcscD+N3lj6H5Z1tUSKvFfaBT9FFegSPC0KOfm6kEAA==" saltValue="nYQqExsF/nRnuo02tjpj7g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2019-08-23T09:16:55Z</dcterms:modified>
</cp:coreProperties>
</file>